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yoCoSa\Downloads\"/>
    </mc:Choice>
  </mc:AlternateContent>
  <xr:revisionPtr revIDLastSave="0" documentId="8_{ADD8071B-72C4-497D-B65F-847402D9CBCA}" xr6:coauthVersionLast="47" xr6:coauthVersionMax="47" xr10:uidLastSave="{00000000-0000-0000-0000-000000000000}"/>
  <workbookProtection workbookAlgorithmName="SHA-512" workbookHashValue="EZm+XDtRz6qHV92aB3GDYd12hiytXNycimipQotX/t7xN5ZRRGG7v4uHKnA19CBDtkyOJNlAFiUHIkkaP1E0ow==" workbookSaltValue="X6nGkswn+oiPc4vyg+m4Ig==" workbookSpinCount="100000" lockStructure="1"/>
  <bookViews>
    <workbookView xWindow="-120" yWindow="-120" windowWidth="29040" windowHeight="17640" xr2:uid="{00000000-000D-0000-FFFF-FFFF00000000}"/>
  </bookViews>
  <sheets>
    <sheet name="RMA form" sheetId="1" r:id="rId1"/>
    <sheet name="MultiLanguage" sheetId="5" state="hidden" r:id="rId2"/>
    <sheet name="CSTeam" sheetId="6" state="hidden" r:id="rId3"/>
    <sheet name="Q&amp;A" sheetId="3" state="hidden" r:id="rId4"/>
    <sheet name="DATE" sheetId="7" state="hidden" r:id="rId5"/>
  </sheets>
  <definedNames>
    <definedName name="_xlnm.Print_Area" localSheetId="0">'RMA form'!$A$4:$Q$62</definedName>
    <definedName name="date_table" localSheetId="4">DATE!$C$1:$K$75</definedName>
    <definedName name="Dates_table3" localSheetId="4">DATE!$G$1:$Q$75</definedName>
    <definedName name="Z_1D305916_1627_405A_9CD6_E1762D8CFD35_.wvu.Cols" localSheetId="0" hidden="1">'RMA form'!$B:$B,'RMA form'!$R:$T</definedName>
    <definedName name="Z_1D305916_1627_405A_9CD6_E1762D8CFD35_.wvu.PrintArea" localSheetId="0" hidden="1">'RMA form'!$A$4:$Q$38</definedName>
    <definedName name="Z_1D305916_1627_405A_9CD6_E1762D8CFD35_.wvu.Rows" localSheetId="0" hidden="1">'RMA form'!$120:$133</definedName>
    <definedName name="Z_87CD69FC_848B_40E1_91A8_CCF9DCB9DDC8_.wvu.Cols" localSheetId="0" hidden="1">'RMA form'!$B:$B,'RMA form'!$R:$T</definedName>
    <definedName name="Z_87CD69FC_848B_40E1_91A8_CCF9DCB9DDC8_.wvu.PrintArea" localSheetId="0" hidden="1">'RMA form'!$A$4:$Q$38</definedName>
    <definedName name="Z_87CD69FC_848B_40E1_91A8_CCF9DCB9DDC8_.wvu.Rows" localSheetId="0" hidden="1">'RMA form'!$120:$133</definedName>
  </definedNames>
  <calcPr calcId="191029"/>
  <customWorkbookViews>
    <customWorkbookView name="Hans Ostheimer - Personal View" guid="{87CD69FC-848B-40E1-91A8-CCF9DCB9DDC8}" mergeInterval="0" personalView="1" maximized="1" windowWidth="1280" windowHeight="791" activeSheetId="1"/>
    <customWorkbookView name="UTC SOE User - Personal View" guid="{1D305916-1627-405A-9CD6-E1762D8CFD35}" mergeInterval="0" personalView="1" maximized="1" xWindow="1" yWindow="1" windowWidth="1600" windowHeight="87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3" i="1" l="1"/>
  <c r="D17" i="6"/>
  <c r="D16" i="6"/>
  <c r="D15" i="6"/>
  <c r="D14" i="6" l="1"/>
  <c r="D13" i="6"/>
  <c r="D12" i="6"/>
  <c r="D11" i="6"/>
  <c r="D10" i="6"/>
  <c r="D9" i="6"/>
  <c r="D8" i="6"/>
  <c r="D7" i="6"/>
  <c r="D3" i="6"/>
  <c r="D5" i="6"/>
  <c r="D6" i="6"/>
  <c r="D4" i="6"/>
  <c r="D2" i="6" l="1"/>
  <c r="B87" i="7" l="1"/>
  <c r="C236" i="1" s="1"/>
  <c r="B86" i="7"/>
  <c r="C235" i="1" s="1"/>
  <c r="B85" i="7"/>
  <c r="C234" i="1" s="1"/>
  <c r="B84" i="7"/>
  <c r="C233" i="1" s="1"/>
  <c r="B83" i="7"/>
  <c r="C232" i="1" s="1"/>
  <c r="B82" i="7"/>
  <c r="C231" i="1" s="1"/>
  <c r="B81" i="7"/>
  <c r="C230" i="1" s="1"/>
  <c r="B80" i="7"/>
  <c r="C229" i="1" s="1"/>
  <c r="B79" i="7"/>
  <c r="C228" i="1" s="1"/>
  <c r="B78" i="7"/>
  <c r="C227" i="1" s="1"/>
  <c r="B77" i="7"/>
  <c r="C226" i="1" s="1"/>
  <c r="B76" i="7"/>
  <c r="C225" i="1" s="1"/>
  <c r="B3" i="7"/>
  <c r="E123" i="1" l="1"/>
  <c r="E122" i="1"/>
  <c r="E121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L45" i="1" l="1"/>
  <c r="L46" i="1"/>
  <c r="L47" i="1"/>
  <c r="L48" i="1"/>
  <c r="L49" i="1"/>
  <c r="L50" i="1"/>
  <c r="L51" i="1"/>
  <c r="M51" i="1" s="1"/>
  <c r="L52" i="1"/>
  <c r="L53" i="1"/>
  <c r="L54" i="1"/>
  <c r="L55" i="1"/>
  <c r="L56" i="1"/>
  <c r="L57" i="1"/>
  <c r="L58" i="1"/>
  <c r="L59" i="1"/>
  <c r="L60" i="1"/>
  <c r="L61" i="1"/>
  <c r="L62" i="1"/>
  <c r="L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44" i="1"/>
  <c r="L29" i="1"/>
  <c r="L30" i="1"/>
  <c r="L31" i="1"/>
  <c r="L32" i="1"/>
  <c r="J29" i="1"/>
  <c r="J30" i="1"/>
  <c r="J31" i="1"/>
  <c r="J32" i="1"/>
  <c r="F43" i="1"/>
  <c r="F26" i="1"/>
  <c r="C152" i="1"/>
  <c r="B4" i="7"/>
  <c r="C153" i="1" s="1"/>
  <c r="B5" i="7"/>
  <c r="C154" i="1" s="1"/>
  <c r="B6" i="7"/>
  <c r="C155" i="1" s="1"/>
  <c r="B7" i="7"/>
  <c r="C156" i="1" s="1"/>
  <c r="B8" i="7"/>
  <c r="C157" i="1" s="1"/>
  <c r="B9" i="7"/>
  <c r="C158" i="1" s="1"/>
  <c r="B10" i="7"/>
  <c r="C159" i="1" s="1"/>
  <c r="B11" i="7"/>
  <c r="C160" i="1" s="1"/>
  <c r="B12" i="7"/>
  <c r="C161" i="1" s="1"/>
  <c r="B13" i="7"/>
  <c r="C162" i="1" s="1"/>
  <c r="B14" i="7"/>
  <c r="C163" i="1" s="1"/>
  <c r="B15" i="7"/>
  <c r="C164" i="1" s="1"/>
  <c r="B16" i="7"/>
  <c r="C165" i="1" s="1"/>
  <c r="B17" i="7"/>
  <c r="C166" i="1" s="1"/>
  <c r="B18" i="7"/>
  <c r="C167" i="1" s="1"/>
  <c r="B19" i="7"/>
  <c r="C168" i="1" s="1"/>
  <c r="B20" i="7"/>
  <c r="C169" i="1" s="1"/>
  <c r="B21" i="7"/>
  <c r="C170" i="1" s="1"/>
  <c r="B22" i="7"/>
  <c r="C171" i="1" s="1"/>
  <c r="B23" i="7"/>
  <c r="C172" i="1" s="1"/>
  <c r="B24" i="7"/>
  <c r="C173" i="1" s="1"/>
  <c r="B25" i="7"/>
  <c r="C174" i="1" s="1"/>
  <c r="B26" i="7"/>
  <c r="C175" i="1" s="1"/>
  <c r="B27" i="7"/>
  <c r="C176" i="1" s="1"/>
  <c r="B28" i="7"/>
  <c r="C177" i="1" s="1"/>
  <c r="B29" i="7"/>
  <c r="C178" i="1" s="1"/>
  <c r="B30" i="7"/>
  <c r="C179" i="1" s="1"/>
  <c r="B31" i="7"/>
  <c r="C180" i="1" s="1"/>
  <c r="B32" i="7"/>
  <c r="C181" i="1" s="1"/>
  <c r="B33" i="7"/>
  <c r="C182" i="1" s="1"/>
  <c r="B34" i="7"/>
  <c r="C183" i="1" s="1"/>
  <c r="B35" i="7"/>
  <c r="C184" i="1" s="1"/>
  <c r="B36" i="7"/>
  <c r="C185" i="1" s="1"/>
  <c r="B37" i="7"/>
  <c r="C186" i="1" s="1"/>
  <c r="B38" i="7"/>
  <c r="C187" i="1" s="1"/>
  <c r="B39" i="7"/>
  <c r="C188" i="1" s="1"/>
  <c r="B40" i="7"/>
  <c r="C189" i="1" s="1"/>
  <c r="B41" i="7"/>
  <c r="C190" i="1" s="1"/>
  <c r="B42" i="7"/>
  <c r="C191" i="1" s="1"/>
  <c r="B43" i="7"/>
  <c r="C192" i="1" s="1"/>
  <c r="B44" i="7"/>
  <c r="C193" i="1" s="1"/>
  <c r="B45" i="7"/>
  <c r="C194" i="1" s="1"/>
  <c r="B46" i="7"/>
  <c r="C195" i="1" s="1"/>
  <c r="B47" i="7"/>
  <c r="C196" i="1" s="1"/>
  <c r="B48" i="7"/>
  <c r="C197" i="1" s="1"/>
  <c r="B49" i="7"/>
  <c r="C198" i="1" s="1"/>
  <c r="B50" i="7"/>
  <c r="C199" i="1" s="1"/>
  <c r="B51" i="7"/>
  <c r="C200" i="1" s="1"/>
  <c r="B52" i="7"/>
  <c r="C201" i="1" s="1"/>
  <c r="B53" i="7"/>
  <c r="C202" i="1" s="1"/>
  <c r="B54" i="7"/>
  <c r="C203" i="1" s="1"/>
  <c r="B55" i="7"/>
  <c r="C204" i="1" s="1"/>
  <c r="B56" i="7"/>
  <c r="C205" i="1" s="1"/>
  <c r="B57" i="7"/>
  <c r="C206" i="1" s="1"/>
  <c r="B58" i="7"/>
  <c r="C207" i="1" s="1"/>
  <c r="B59" i="7"/>
  <c r="C208" i="1" s="1"/>
  <c r="B60" i="7"/>
  <c r="C209" i="1" s="1"/>
  <c r="B61" i="7"/>
  <c r="C210" i="1" s="1"/>
  <c r="B62" i="7"/>
  <c r="C211" i="1" s="1"/>
  <c r="B63" i="7"/>
  <c r="C212" i="1" s="1"/>
  <c r="B64" i="7"/>
  <c r="C213" i="1" s="1"/>
  <c r="B65" i="7"/>
  <c r="C214" i="1" s="1"/>
  <c r="B66" i="7"/>
  <c r="C215" i="1" s="1"/>
  <c r="B67" i="7"/>
  <c r="C216" i="1" s="1"/>
  <c r="B68" i="7"/>
  <c r="C217" i="1" s="1"/>
  <c r="B69" i="7"/>
  <c r="C218" i="1" s="1"/>
  <c r="B70" i="7"/>
  <c r="C219" i="1" s="1"/>
  <c r="B71" i="7"/>
  <c r="C220" i="1" s="1"/>
  <c r="B72" i="7"/>
  <c r="C221" i="1" s="1"/>
  <c r="B73" i="7"/>
  <c r="C222" i="1" s="1"/>
  <c r="B74" i="7"/>
  <c r="C223" i="1" s="1"/>
  <c r="B75" i="7"/>
  <c r="C224" i="1" s="1"/>
  <c r="B2" i="7"/>
  <c r="C150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44" i="1"/>
  <c r="G29" i="1"/>
  <c r="G30" i="1"/>
  <c r="G31" i="1"/>
  <c r="G32" i="1"/>
  <c r="P42" i="1"/>
  <c r="N42" i="1"/>
  <c r="N43" i="1"/>
  <c r="L42" i="1"/>
  <c r="J42" i="1"/>
  <c r="G42" i="1"/>
  <c r="F42" i="1"/>
  <c r="E42" i="1"/>
  <c r="D42" i="1"/>
  <c r="C43" i="1"/>
  <c r="C42" i="1"/>
  <c r="J17" i="1"/>
  <c r="J18" i="1"/>
  <c r="J19" i="1"/>
  <c r="J21" i="1"/>
  <c r="J22" i="1"/>
  <c r="J23" i="1"/>
  <c r="P25" i="1"/>
  <c r="N25" i="1"/>
  <c r="N26" i="1"/>
  <c r="L25" i="1"/>
  <c r="J25" i="1"/>
  <c r="G25" i="1"/>
  <c r="F25" i="1"/>
  <c r="E25" i="1"/>
  <c r="D25" i="1"/>
  <c r="O33" i="1"/>
  <c r="L39" i="1"/>
  <c r="C39" i="1"/>
  <c r="C38" i="1"/>
  <c r="C37" i="1"/>
  <c r="C36" i="1"/>
  <c r="C35" i="1"/>
  <c r="C34" i="1"/>
  <c r="C26" i="1"/>
  <c r="C25" i="1"/>
  <c r="C23" i="1"/>
  <c r="C22" i="1"/>
  <c r="C21" i="1"/>
  <c r="C19" i="1"/>
  <c r="C18" i="1"/>
  <c r="C17" i="1"/>
  <c r="C16" i="1"/>
  <c r="C15" i="1"/>
  <c r="C14" i="1"/>
  <c r="C10" i="1"/>
  <c r="C9" i="1"/>
  <c r="C7" i="1"/>
  <c r="C5" i="1"/>
  <c r="J2" i="1"/>
  <c r="J12" i="1"/>
  <c r="D12" i="1"/>
  <c r="J11" i="1"/>
  <c r="D11" i="1"/>
  <c r="D10" i="1"/>
  <c r="D8" i="1"/>
  <c r="D7" i="1"/>
  <c r="O23" i="1"/>
  <c r="U27" i="1" l="1"/>
  <c r="U28" i="1"/>
  <c r="U31" i="1"/>
  <c r="U47" i="1"/>
  <c r="U55" i="1"/>
  <c r="U50" i="1"/>
  <c r="U58" i="1"/>
  <c r="U45" i="1"/>
  <c r="U53" i="1"/>
  <c r="U61" i="1"/>
  <c r="U32" i="1"/>
  <c r="U48" i="1"/>
  <c r="U56" i="1"/>
  <c r="U51" i="1"/>
  <c r="U59" i="1"/>
  <c r="U30" i="1"/>
  <c r="U46" i="1"/>
  <c r="U54" i="1"/>
  <c r="U62" i="1"/>
  <c r="U49" i="1"/>
  <c r="U57" i="1"/>
  <c r="U44" i="1"/>
  <c r="U52" i="1"/>
  <c r="U60" i="1"/>
  <c r="U29" i="1"/>
  <c r="C151" i="1"/>
  <c r="R27" i="1"/>
  <c r="M48" i="1"/>
  <c r="M60" i="1"/>
  <c r="K61" i="1"/>
  <c r="M58" i="1"/>
  <c r="H47" i="1"/>
  <c r="K51" i="1"/>
  <c r="K47" i="1"/>
  <c r="M32" i="1"/>
  <c r="H51" i="1"/>
  <c r="H28" i="1"/>
  <c r="K58" i="1"/>
  <c r="M53" i="1"/>
  <c r="M45" i="1"/>
  <c r="H52" i="1"/>
  <c r="M31" i="1"/>
  <c r="K30" i="1"/>
  <c r="H58" i="1"/>
  <c r="H45" i="1"/>
  <c r="K31" i="1"/>
  <c r="K60" i="1"/>
  <c r="K48" i="1"/>
  <c r="M47" i="1"/>
  <c r="K27" i="1"/>
  <c r="K57" i="1"/>
  <c r="H46" i="1"/>
  <c r="M29" i="1"/>
  <c r="H55" i="1"/>
  <c r="H48" i="1"/>
  <c r="H32" i="1"/>
  <c r="H44" i="1"/>
  <c r="H60" i="1"/>
  <c r="H56" i="1"/>
  <c r="H53" i="1"/>
  <c r="H50" i="1"/>
  <c r="H29" i="1"/>
  <c r="H59" i="1"/>
  <c r="H49" i="1"/>
  <c r="K53" i="1"/>
  <c r="K45" i="1"/>
  <c r="H27" i="1"/>
  <c r="H30" i="1"/>
  <c r="H62" i="1"/>
  <c r="H54" i="1"/>
  <c r="H57" i="1"/>
  <c r="H31" i="1"/>
  <c r="H61" i="1"/>
  <c r="K44" i="1"/>
  <c r="K55" i="1"/>
  <c r="M56" i="1"/>
  <c r="M59" i="1"/>
  <c r="M50" i="1"/>
  <c r="M54" i="1"/>
  <c r="R47" i="1"/>
  <c r="K28" i="1"/>
  <c r="M30" i="1"/>
  <c r="K50" i="1"/>
  <c r="M61" i="1"/>
  <c r="M55" i="1"/>
  <c r="M49" i="1"/>
  <c r="M44" i="1"/>
  <c r="K32" i="1"/>
  <c r="M52" i="1"/>
  <c r="M28" i="1"/>
  <c r="K62" i="1"/>
  <c r="K59" i="1"/>
  <c r="K54" i="1"/>
  <c r="K52" i="1"/>
  <c r="M57" i="1"/>
  <c r="M46" i="1"/>
  <c r="M27" i="1"/>
  <c r="K29" i="1"/>
  <c r="K56" i="1"/>
  <c r="K49" i="1"/>
  <c r="K46" i="1"/>
  <c r="M62" i="1"/>
  <c r="S45" i="1"/>
  <c r="R56" i="1"/>
  <c r="S58" i="1"/>
  <c r="R48" i="1"/>
  <c r="R32" i="1"/>
  <c r="S55" i="1"/>
  <c r="S54" i="1"/>
  <c r="R60" i="1"/>
  <c r="S49" i="1"/>
  <c r="R54" i="1"/>
  <c r="S47" i="1"/>
  <c r="S60" i="1"/>
  <c r="S62" i="1"/>
  <c r="R29" i="1"/>
  <c r="S61" i="1"/>
  <c r="R58" i="1"/>
  <c r="S51" i="1"/>
  <c r="S28" i="1"/>
  <c r="S27" i="1"/>
  <c r="S52" i="1"/>
  <c r="S50" i="1"/>
  <c r="R46" i="1"/>
  <c r="R61" i="1"/>
  <c r="S56" i="1"/>
  <c r="S31" i="1"/>
  <c r="R53" i="1"/>
  <c r="S57" i="1"/>
  <c r="R44" i="1"/>
  <c r="R52" i="1"/>
  <c r="R49" i="1"/>
  <c r="R51" i="1"/>
  <c r="R28" i="1"/>
  <c r="S53" i="1"/>
  <c r="S46" i="1"/>
  <c r="R50" i="1"/>
  <c r="S29" i="1"/>
  <c r="S32" i="1"/>
  <c r="R30" i="1"/>
  <c r="R57" i="1"/>
  <c r="R59" i="1"/>
  <c r="R45" i="1"/>
  <c r="R31" i="1"/>
  <c r="R55" i="1"/>
  <c r="S30" i="1"/>
  <c r="S59" i="1"/>
  <c r="R62" i="1"/>
  <c r="S48" i="1"/>
  <c r="S44" i="1"/>
  <c r="T54" i="1" l="1"/>
  <c r="T51" i="1"/>
  <c r="T61" i="1"/>
  <c r="T47" i="1"/>
  <c r="T45" i="1"/>
  <c r="T44" i="1"/>
  <c r="T48" i="1"/>
  <c r="T60" i="1"/>
  <c r="T55" i="1"/>
  <c r="T27" i="1"/>
  <c r="T31" i="1"/>
  <c r="T28" i="1"/>
  <c r="T58" i="1"/>
  <c r="T46" i="1"/>
  <c r="T30" i="1"/>
  <c r="T56" i="1"/>
  <c r="T53" i="1"/>
  <c r="T57" i="1"/>
  <c r="T62" i="1"/>
  <c r="T59" i="1"/>
  <c r="T32" i="1"/>
  <c r="T49" i="1"/>
  <c r="T29" i="1"/>
  <c r="T50" i="1"/>
  <c r="T52" i="1"/>
  <c r="W57" i="1" l="1"/>
  <c r="V57" i="1"/>
  <c r="V51" i="1"/>
  <c r="W51" i="1"/>
  <c r="V53" i="1"/>
  <c r="W53" i="1"/>
  <c r="V54" i="1"/>
  <c r="W54" i="1"/>
  <c r="V50" i="1"/>
  <c r="W50" i="1"/>
  <c r="V56" i="1"/>
  <c r="W56" i="1"/>
  <c r="V60" i="1"/>
  <c r="W60" i="1"/>
  <c r="V27" i="1"/>
  <c r="W27" i="1"/>
  <c r="V52" i="1"/>
  <c r="W52" i="1"/>
  <c r="V55" i="1"/>
  <c r="W55" i="1"/>
  <c r="W29" i="1"/>
  <c r="V29" i="1"/>
  <c r="V30" i="1"/>
  <c r="W30" i="1"/>
  <c r="V48" i="1"/>
  <c r="W48" i="1"/>
  <c r="V46" i="1"/>
  <c r="W46" i="1"/>
  <c r="V32" i="1"/>
  <c r="W32" i="1"/>
  <c r="V45" i="1"/>
  <c r="W45" i="1"/>
  <c r="V59" i="1"/>
  <c r="W59" i="1"/>
  <c r="V28" i="1"/>
  <c r="W28" i="1"/>
  <c r="V47" i="1"/>
  <c r="W47" i="1"/>
  <c r="W49" i="1"/>
  <c r="V49" i="1"/>
  <c r="V44" i="1"/>
  <c r="W44" i="1"/>
  <c r="V58" i="1"/>
  <c r="W58" i="1"/>
  <c r="V62" i="1"/>
  <c r="W62" i="1"/>
  <c r="V31" i="1"/>
  <c r="W31" i="1"/>
  <c r="V61" i="1"/>
  <c r="W61" i="1"/>
  <c r="D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ate table" type="6" refreshedVersion="4" background="1" saveData="1">
    <textPr sourceFile="C:\Users\103017739\Desktop\RMA form\Date calculation\date table.csv" tab="0" comma="1">
      <textFields count="6">
        <textField type="text"/>
        <textField type="text"/>
        <textField type="text"/>
        <textField type="text"/>
        <textField type="text"/>
        <textField type="text"/>
      </textFields>
    </textPr>
  </connection>
  <connection id="2" xr16:uid="{00000000-0015-0000-FFFF-FFFF01000000}" name="Dates table3" type="6" refreshedVersion="4" background="1" saveData="1">
    <textPr codePage="437" sourceFile="C:\Users\103017739\Desktop\RMA form\Date calculation\Dates table3.csv" tab="0" comma="1">
      <textFields count="4"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<sst xmlns="http://schemas.openxmlformats.org/spreadsheetml/2006/main" count="2442" uniqueCount="1728">
  <si>
    <t>Has the product been used?</t>
  </si>
  <si>
    <t xml:space="preserve">Has the product ever worked? </t>
  </si>
  <si>
    <t>REPAIR</t>
  </si>
  <si>
    <t xml:space="preserve">Shipping Department Error </t>
  </si>
  <si>
    <t xml:space="preserve">Project Cancelled/Changed </t>
  </si>
  <si>
    <t xml:space="preserve">Customer Order Error </t>
  </si>
  <si>
    <t xml:space="preserve">Shipment Damaged </t>
  </si>
  <si>
    <t>Yes</t>
  </si>
  <si>
    <t>No</t>
  </si>
  <si>
    <t>check 90 days old</t>
  </si>
  <si>
    <t>Aswer string</t>
  </si>
  <si>
    <t>ERROR</t>
  </si>
  <si>
    <t>Comment</t>
  </si>
  <si>
    <t>When you never use product, you don't know if it works</t>
  </si>
  <si>
    <t>Standard repair</t>
  </si>
  <si>
    <t>BAD OUT OF BOX</t>
  </si>
  <si>
    <t>Only possible when it is a physical dammage</t>
  </si>
  <si>
    <t>Return reason</t>
  </si>
  <si>
    <t>Product is Defect</t>
  </si>
  <si>
    <t>Received wrong product</t>
  </si>
  <si>
    <t xml:space="preserve">Received wrong quantity </t>
  </si>
  <si>
    <t>Overstock return</t>
  </si>
  <si>
    <t xml:space="preserve">Received wrong shipment </t>
  </si>
  <si>
    <t>Project Cancelled</t>
  </si>
  <si>
    <t xml:space="preserve">Received Shipped Too Late </t>
  </si>
  <si>
    <t xml:space="preserve">Wrong item Orderred </t>
  </si>
  <si>
    <t>Received order multiple times</t>
  </si>
  <si>
    <t>Received shipment multiple times</t>
  </si>
  <si>
    <t>Received Shipped Too Early</t>
  </si>
  <si>
    <t>REPAIR RMA</t>
  </si>
  <si>
    <t>Option 1</t>
  </si>
  <si>
    <t>CREDIT RMA</t>
  </si>
  <si>
    <t>Oracle Return Reason</t>
  </si>
  <si>
    <t>OLD / Used / worked</t>
  </si>
  <si>
    <t>OLD / REASON</t>
  </si>
  <si>
    <t>COMPLAINT TO INVESTIGATE HOW THIS CAN HAPPEN</t>
  </si>
  <si>
    <t>Meet stock return criteria</t>
  </si>
  <si>
    <t>answer combination incorrect</t>
  </si>
  <si>
    <t>Note</t>
  </si>
  <si>
    <t>REJECT REQUEST</t>
  </si>
  <si>
    <t>Invoice date more than 90 days ago</t>
  </si>
  <si>
    <t xml:space="preserve">Return material authorisation form </t>
  </si>
  <si>
    <t>Address:</t>
  </si>
  <si>
    <t>Contacts:</t>
  </si>
  <si>
    <t>Company Name:</t>
  </si>
  <si>
    <t>Postal code / City:</t>
  </si>
  <si>
    <t>Country:</t>
  </si>
  <si>
    <t>Your reference number:</t>
  </si>
  <si>
    <t>Tel:</t>
  </si>
  <si>
    <t>E-mail:</t>
  </si>
  <si>
    <t>Contact person:</t>
  </si>
  <si>
    <t>*** PLEASE COMPLETELY FILL OUT THE FOLLOWING SECTION, ALL FIELDS ARE MANDATORY ***</t>
  </si>
  <si>
    <t>Request date:</t>
  </si>
  <si>
    <t>Instructions:</t>
  </si>
  <si>
    <t>Send this document to the email address above. (Depending on the region)</t>
  </si>
  <si>
    <t/>
  </si>
  <si>
    <t>Shipping address:</t>
  </si>
  <si>
    <t>NOTE / Reminder</t>
  </si>
  <si>
    <t>-Select-</t>
  </si>
  <si>
    <t>When you receive multiple RMA's you have to split the shipment and return each RMA with his own shipping label.</t>
  </si>
  <si>
    <t>Fault description available?</t>
  </si>
  <si>
    <t>no/yes/received wrong product</t>
  </si>
  <si>
    <t>yes/yes/received wrong product</t>
  </si>
  <si>
    <t>Product is used</t>
  </si>
  <si>
    <t xml:space="preserve">yes/yes/received wrong quantity </t>
  </si>
  <si>
    <t xml:space="preserve">no/yes/received wrong quantity </t>
  </si>
  <si>
    <t>yes/yes/overstock return</t>
  </si>
  <si>
    <t>no/yes/overstock return</t>
  </si>
  <si>
    <t>yes/yes/project Cancelled</t>
  </si>
  <si>
    <t xml:space="preserve">no/yes/received shipped too late </t>
  </si>
  <si>
    <t xml:space="preserve">yes/yes/received shipped too late </t>
  </si>
  <si>
    <t xml:space="preserve">yes/yes/wrong item orderred </t>
  </si>
  <si>
    <t xml:space="preserve">no/yes/wrong item orderred </t>
  </si>
  <si>
    <t>yes/yes/received order multiple times</t>
  </si>
  <si>
    <t>no/yes/received order multiple times</t>
  </si>
  <si>
    <t>yes/yes/received shipment multiple times</t>
  </si>
  <si>
    <t>no/yes/received shipment multiple times</t>
  </si>
  <si>
    <t>yes/yes/received shipped too early</t>
  </si>
  <si>
    <t>no/no/received shipped too early</t>
  </si>
  <si>
    <t>no/yes/received shipped too early</t>
  </si>
  <si>
    <t xml:space="preserve">no/yes/shipment damaged </t>
  </si>
  <si>
    <t xml:space="preserve">yes/yes/shipment damaged </t>
  </si>
  <si>
    <t>no/no/received wrong product</t>
  </si>
  <si>
    <t>yes/no/received wrong product</t>
  </si>
  <si>
    <t>Product used and invoice date more than 90 days ago</t>
  </si>
  <si>
    <t xml:space="preserve">no/no/received wrong quantity </t>
  </si>
  <si>
    <t>no/no/overstock return</t>
  </si>
  <si>
    <t xml:space="preserve">no/no/eceived wrong shipment </t>
  </si>
  <si>
    <t>no/no/project Cancelled</t>
  </si>
  <si>
    <t xml:space="preserve">no/no/received shipped too late </t>
  </si>
  <si>
    <t xml:space="preserve">no/no/wrong item orderred </t>
  </si>
  <si>
    <t>no/no/received order multiple times</t>
  </si>
  <si>
    <t>no/no/received shipment multiple times</t>
  </si>
  <si>
    <t xml:space="preserve">no/no/shipment damaged </t>
  </si>
  <si>
    <t xml:space="preserve">yes/no/received wrong quantity </t>
  </si>
  <si>
    <t>yes/no/overstock return</t>
  </si>
  <si>
    <t xml:space="preserve">yes/no/eceived wrong shipment </t>
  </si>
  <si>
    <t>yes/no/project Cancelled</t>
  </si>
  <si>
    <t xml:space="preserve">yes/no/received shipped too late </t>
  </si>
  <si>
    <t xml:space="preserve">yes/no/wrong item orderred </t>
  </si>
  <si>
    <t>yes/no/received order multiple times</t>
  </si>
  <si>
    <t>yes/no/received shipment multiple times</t>
  </si>
  <si>
    <t>yes/no/received shipped too early</t>
  </si>
  <si>
    <t xml:space="preserve">yes/no/shipment damaged </t>
  </si>
  <si>
    <r>
      <t xml:space="preserve">Customer service advise: Direct to flow:
</t>
    </r>
    <r>
      <rPr>
        <b/>
        <sz val="9"/>
        <color indexed="30"/>
        <rFont val="Arial"/>
        <family val="2"/>
      </rPr>
      <t>(ADVISE - ORACLE RETURN REASON)</t>
    </r>
  </si>
  <si>
    <t>Raise a COMPLAINT</t>
  </si>
  <si>
    <r>
      <t xml:space="preserve">Enter 
Complaint WF / RMA WF number
</t>
    </r>
    <r>
      <rPr>
        <b/>
        <sz val="9"/>
        <color indexed="30"/>
        <rFont val="Arial"/>
        <family val="2"/>
      </rPr>
      <t>(MANDATORY)</t>
    </r>
  </si>
  <si>
    <t>CS Note</t>
  </si>
  <si>
    <t>To request a RMA approval:</t>
  </si>
  <si>
    <t>Click here</t>
  </si>
  <si>
    <t>To raise a complaint:</t>
  </si>
  <si>
    <t>FOLLOW RMA APPROVAL</t>
  </si>
  <si>
    <t>To create a shiping label:</t>
  </si>
  <si>
    <t>How to process:</t>
  </si>
  <si>
    <t>Has the product ever worked?</t>
  </si>
  <si>
    <r>
      <t xml:space="preserve">Customer 
Appeasenent ?
</t>
    </r>
    <r>
      <rPr>
        <b/>
        <sz val="9"/>
        <color indexed="30"/>
        <rFont val="Arial"/>
        <family val="2"/>
      </rPr>
      <t>Default: "No"</t>
    </r>
  </si>
  <si>
    <t>Reason for Customer Appeasement:</t>
  </si>
  <si>
    <t>(MANDATORY)</t>
  </si>
  <si>
    <t>Select Language:</t>
  </si>
  <si>
    <t>Laguage</t>
  </si>
  <si>
    <t>ENGLISH</t>
  </si>
  <si>
    <t>DUTCH</t>
  </si>
  <si>
    <t>SPANISH</t>
  </si>
  <si>
    <t>FRENCH</t>
  </si>
  <si>
    <t>GERMAN</t>
  </si>
  <si>
    <t>ITALIAN</t>
  </si>
  <si>
    <t>-Selecteer-</t>
  </si>
  <si>
    <t>Verkeerd product ontvangen</t>
  </si>
  <si>
    <t>Verkeerd aantal ontvangen</t>
  </si>
  <si>
    <t>Voorraad retour</t>
  </si>
  <si>
    <t>Foutieve levering ontvangen</t>
  </si>
  <si>
    <t>Project afgelast</t>
  </si>
  <si>
    <t>Zending te laat ontvangen</t>
  </si>
  <si>
    <t>Foutief product besteld</t>
  </si>
  <si>
    <t>Bestelling meermaals ontvangen</t>
  </si>
  <si>
    <t>Zending meermaals ontvangen</t>
  </si>
  <si>
    <t>Zending te vroeg ontvangen</t>
  </si>
  <si>
    <t>Zending beschadigd</t>
  </si>
  <si>
    <t>Is het product gebruikt?</t>
  </si>
  <si>
    <t>Ja</t>
  </si>
  <si>
    <t>Nee</t>
  </si>
  <si>
    <t>Heeft het product gewerkt?</t>
  </si>
  <si>
    <t>Item code*</t>
  </si>
  <si>
    <t>Artikel code*</t>
  </si>
  <si>
    <t xml:space="preserve">Quantity* </t>
  </si>
  <si>
    <t>Aantal*</t>
  </si>
  <si>
    <t>What is the original order number/ invoice number? *</t>
  </si>
  <si>
    <t>Wat is het oorspronkelijke order / factuur nummer?*</t>
  </si>
  <si>
    <t>Select a return reason*</t>
  </si>
  <si>
    <t>Has the product been used?*</t>
  </si>
  <si>
    <t>Is het product gebruikt?*</t>
  </si>
  <si>
    <t>Adres:</t>
  </si>
  <si>
    <t>Contact:</t>
  </si>
  <si>
    <t>Instructie:</t>
  </si>
  <si>
    <t>Stuur dit document aan het e-maildres bovenaan vermeld. (Regio afhankelijk)</t>
  </si>
  <si>
    <t>Do not ship any products without RMA number.</t>
  </si>
  <si>
    <t>Verstuur geen producten zonder RMA nummer</t>
  </si>
  <si>
    <t>* Fields marked with an asterix are mandatory</t>
  </si>
  <si>
    <t>* Velden gemarkeerd met een sterretje zijn verplichte velden</t>
  </si>
  <si>
    <t>Bedrijfsnaam:</t>
  </si>
  <si>
    <t>Land:</t>
  </si>
  <si>
    <t>Uw referentie nummer:</t>
  </si>
  <si>
    <t>Verzend adres:</t>
  </si>
  <si>
    <t>Contact persoon:</t>
  </si>
  <si>
    <t>Aanvraag datum:</t>
  </si>
  <si>
    <t>See also page 2</t>
  </si>
  <si>
    <t>Zie ook pagina 2</t>
  </si>
  <si>
    <t>Fault description defective products</t>
  </si>
  <si>
    <t>(VERPLICHT)</t>
  </si>
  <si>
    <t xml:space="preserve">When did you buy the product?* </t>
  </si>
  <si>
    <t xml:space="preserve">Wanneer heeft u het product gekocht?* </t>
  </si>
  <si>
    <t>Fout omschrijving defecte producten</t>
  </si>
  <si>
    <t>Question</t>
  </si>
  <si>
    <t>Translated Question</t>
  </si>
  <si>
    <t>Region</t>
  </si>
  <si>
    <t>EDC</t>
  </si>
  <si>
    <t>Sales Germany</t>
  </si>
  <si>
    <t>Raison du retour</t>
  </si>
  <si>
    <t xml:space="preserve"> -Sélectionnez-</t>
  </si>
  <si>
    <t>Produit défectueux</t>
  </si>
  <si>
    <t>Erreur sur la quantité reçue</t>
  </si>
  <si>
    <t>Projet annulé</t>
  </si>
  <si>
    <t>Commande reçue plusieurs fois</t>
  </si>
  <si>
    <t>Oui</t>
  </si>
  <si>
    <t>Non</t>
  </si>
  <si>
    <t>Référence produit*</t>
  </si>
  <si>
    <t>Quantité*</t>
  </si>
  <si>
    <t>Sélectionnez la raison du retour</t>
  </si>
  <si>
    <t>Numéro de RMA fourni par le Service Clients</t>
  </si>
  <si>
    <t xml:space="preserve">Adresse : </t>
  </si>
  <si>
    <t xml:space="preserve">Contact : </t>
  </si>
  <si>
    <t xml:space="preserve">Instructions : </t>
  </si>
  <si>
    <t>Renvoyez ce document à l'adresse courriel ci-dessus</t>
  </si>
  <si>
    <t>Ne renvoyez aucun produit sans numéro de RMA</t>
  </si>
  <si>
    <t xml:space="preserve">Note : Les produits non-utilisés doivent être complets, dans leur boîte d'origine non-ouverte. </t>
  </si>
  <si>
    <t>* Les champs marqués par une astérisque sont obligatoires</t>
  </si>
  <si>
    <t xml:space="preserve">Nom de la société: </t>
  </si>
  <si>
    <t xml:space="preserve">Pays: </t>
  </si>
  <si>
    <t>Voir aussi page 2</t>
  </si>
  <si>
    <t>(OBLIGATOIRE)</t>
  </si>
  <si>
    <r>
      <t>Select a return reason</t>
    </r>
    <r>
      <rPr>
        <b/>
        <sz val="8.5"/>
        <color indexed="53"/>
        <rFont val="Arial"/>
        <family val="2"/>
      </rPr>
      <t>*</t>
    </r>
  </si>
  <si>
    <r>
      <t>Has the product been used?</t>
    </r>
    <r>
      <rPr>
        <b/>
        <sz val="8.5"/>
        <color indexed="53"/>
        <rFont val="Arial"/>
        <family val="2"/>
      </rPr>
      <t>*</t>
    </r>
  </si>
  <si>
    <t>Sales Belgium</t>
  </si>
  <si>
    <t>Sales France</t>
  </si>
  <si>
    <t>Sales Spain</t>
  </si>
  <si>
    <t>Sales Italy</t>
  </si>
  <si>
    <t>Team</t>
  </si>
  <si>
    <t>Contact2</t>
  </si>
  <si>
    <t>Contact1</t>
  </si>
  <si>
    <t>Description1</t>
  </si>
  <si>
    <t>Description2</t>
  </si>
  <si>
    <t>Contact3</t>
  </si>
  <si>
    <t>Description3</t>
  </si>
  <si>
    <t>Addressline1</t>
  </si>
  <si>
    <t>Addressline2</t>
  </si>
  <si>
    <t>Addressline3</t>
  </si>
  <si>
    <t>Customer Service NL Sales</t>
  </si>
  <si>
    <t>WARNING, HIDDEN FIELDS  =&gt;</t>
  </si>
  <si>
    <t>Postcode / Plaats:</t>
  </si>
  <si>
    <t>Formulario de autorización de devolución de material</t>
  </si>
  <si>
    <t>Motivo de la devolución</t>
  </si>
  <si>
    <t>Producto defectuoso</t>
  </si>
  <si>
    <t xml:space="preserve">Producto recibido erróneo </t>
  </si>
  <si>
    <t>Cantidad recibida errónea</t>
  </si>
  <si>
    <t>Excedente de existencias</t>
  </si>
  <si>
    <t>Envio recibido erróneo</t>
  </si>
  <si>
    <t>Proyecto cancelado</t>
  </si>
  <si>
    <t>Pedido recibido demasiado tarde</t>
  </si>
  <si>
    <t>Error de producto solicitado</t>
  </si>
  <si>
    <t>Pedido  duplicado</t>
  </si>
  <si>
    <t>Envíos parciales no aceptado</t>
  </si>
  <si>
    <t>Pedido enviado antes de fecha</t>
  </si>
  <si>
    <t>Envío dañado</t>
  </si>
  <si>
    <t>¿El producto ha sido utilizado?</t>
  </si>
  <si>
    <t>Si</t>
  </si>
  <si>
    <t>¿El producto ha funcionado en algún momento?</t>
  </si>
  <si>
    <t>Referencia del producto</t>
  </si>
  <si>
    <t>Cantidad</t>
  </si>
  <si>
    <t>¿Cual es el numero de pedido original / numero de factura original?*</t>
  </si>
  <si>
    <t>¿Cuando compró el producto ?</t>
  </si>
  <si>
    <t>Seleccionar el motivo de la devolución</t>
  </si>
  <si>
    <t>¿El producto ha sido utilizado ?</t>
  </si>
  <si>
    <t>Descripción de la anomalia</t>
  </si>
  <si>
    <t>Enviar este documento a la dirección de correo indicada arriba</t>
  </si>
  <si>
    <t>Cuando reciben varios RMA, deben separar cada entrega e identificar cada RMA con su propia etiqueta</t>
  </si>
  <si>
    <t>No devolver ningun producto sin número de RMA</t>
  </si>
  <si>
    <t>Nota : Los productos que no hayan sido usados deben ser devueltos completos, en su embalage original y sin abrir.</t>
  </si>
  <si>
    <t>*Los campos marcados con un asterisco son obligatorios</t>
  </si>
  <si>
    <t>*** ROGAMOS RELLENEN  LOS CAMPOS DEL CUADRO, TODOS LOS CAMPOS MARCADOS CON ***SON OBLIGATORIOS</t>
  </si>
  <si>
    <t>Ver también pagina 2</t>
  </si>
  <si>
    <t>(OBLIGATORIO)</t>
  </si>
  <si>
    <t xml:space="preserve">Código postal / Ciudad: </t>
  </si>
  <si>
    <t xml:space="preserve">Su Número de pedido: </t>
  </si>
  <si>
    <t xml:space="preserve">Persona de contacto: </t>
  </si>
  <si>
    <t xml:space="preserve">Fecha solicitada: </t>
  </si>
  <si>
    <t xml:space="preserve">Dirección: </t>
  </si>
  <si>
    <t xml:space="preserve">Contacto : </t>
  </si>
  <si>
    <t xml:space="preserve">Instrucciones: </t>
  </si>
  <si>
    <t>País:</t>
  </si>
  <si>
    <t>Email:</t>
  </si>
  <si>
    <t xml:space="preserve">Empresa: </t>
  </si>
  <si>
    <t>Note: Unused products are complete in original sealed unopened package.</t>
  </si>
  <si>
    <t>Company address:</t>
  </si>
  <si>
    <t>Select CS team</t>
  </si>
  <si>
    <t xml:space="preserve">Your CS location:  </t>
  </si>
  <si>
    <t>SWEDISH</t>
  </si>
  <si>
    <t>Retursedel</t>
  </si>
  <si>
    <t>Anledning till retur</t>
  </si>
  <si>
    <t>Fel produkt</t>
  </si>
  <si>
    <t>Fel antal</t>
  </si>
  <si>
    <t>Överlager</t>
  </si>
  <si>
    <t>Projekt inställt</t>
  </si>
  <si>
    <t>För sen leverans</t>
  </si>
  <si>
    <t>Fel produkt beställd</t>
  </si>
  <si>
    <t>Dubbelorder</t>
  </si>
  <si>
    <t>Dubbelleverans</t>
  </si>
  <si>
    <t>För tidig leverans</t>
  </si>
  <si>
    <t>Transportskada</t>
  </si>
  <si>
    <t>Har produkten använts?</t>
  </si>
  <si>
    <t>Nej</t>
  </si>
  <si>
    <t>Har produkten någonsin fungerat?</t>
  </si>
  <si>
    <t>Artikelnummer*</t>
  </si>
  <si>
    <t>Antal*</t>
  </si>
  <si>
    <t>När köpte du produkten?*</t>
  </si>
  <si>
    <t>Välj en returorsak*</t>
  </si>
  <si>
    <t>Har produkten använts?*</t>
  </si>
  <si>
    <t>Felbeskrivning defekta produkter</t>
  </si>
  <si>
    <t>Adress:</t>
  </si>
  <si>
    <t>Kontakt:</t>
  </si>
  <si>
    <t>* Fält med en asterisk är obligatoriska</t>
  </si>
  <si>
    <t>*** Vänligen fyll i samtliga fält nedan ***</t>
  </si>
  <si>
    <t>Företag:</t>
  </si>
  <si>
    <t>Orderreferens:</t>
  </si>
  <si>
    <t>Telefon:</t>
  </si>
  <si>
    <t>Leveransadress:</t>
  </si>
  <si>
    <t>Datum:</t>
  </si>
  <si>
    <t>Se även sidan 2</t>
  </si>
  <si>
    <t>(Obligatoriskt)</t>
  </si>
  <si>
    <t>Modulo di autorizzazione al ritorno del materiale</t>
  </si>
  <si>
    <t>Causale reso</t>
  </si>
  <si>
    <t>-Seleziona-</t>
  </si>
  <si>
    <t>il prodotto è difettoso</t>
  </si>
  <si>
    <t>Ricevuto il prodotto sbagliato</t>
  </si>
  <si>
    <t>Ricevuto la quantità sbagliata</t>
  </si>
  <si>
    <t>Ritorno di materiale in eccesso</t>
  </si>
  <si>
    <t>Ricevuta spedizione errata</t>
  </si>
  <si>
    <t>Progetto annullato</t>
  </si>
  <si>
    <t xml:space="preserve">Ricevuto ma spedito troppo tardi </t>
  </si>
  <si>
    <t>Ordinato articolo sbagliato</t>
  </si>
  <si>
    <t>Ricevuto ordine più volte</t>
  </si>
  <si>
    <t>Ricevuto spedizione più volte</t>
  </si>
  <si>
    <t>Ricevuto ma spedito troppo presto</t>
  </si>
  <si>
    <t xml:space="preserve">Spedizione danneggiata </t>
  </si>
  <si>
    <t>Il prodotto è stato utilizzato?</t>
  </si>
  <si>
    <t>Sì</t>
  </si>
  <si>
    <t xml:space="preserve">Il prodotto è mai stato installato? </t>
  </si>
  <si>
    <t>Codice articolo *</t>
  </si>
  <si>
    <t xml:space="preserve">Quantità * </t>
  </si>
  <si>
    <t>Qual' è numero ordine / numero fattura?</t>
  </si>
  <si>
    <t xml:space="preserve">Quando ha comprato il prodotto? * </t>
  </si>
  <si>
    <t>Selezionare motivo di ritorno *</t>
  </si>
  <si>
    <t>Il prodotto è stato utilizzato? *</t>
  </si>
  <si>
    <t>Il prodotto è mai stato installato?</t>
  </si>
  <si>
    <t>Prodotti difettosi errore di descrizione</t>
  </si>
  <si>
    <t>Indirizzo:</t>
  </si>
  <si>
    <t>Contatti:</t>
  </si>
  <si>
    <t>Istruzioni:</t>
  </si>
  <si>
    <t>Inviare questo documento all'indirizzo mail sopra citato.(A seconda della regione)</t>
  </si>
  <si>
    <t>Quando ricevete multipli RMA è necessario dividere la spedizione e restituire ogni RMA con la propria etichetta di spedizione.</t>
  </si>
  <si>
    <t>Non spedire qualsiasi prodotto senza numero di RMA.</t>
  </si>
  <si>
    <t>Nota: I prodotti inutilizzati sono completi in confezione originale sigillata.</t>
  </si>
  <si>
    <t>* I campi contrassegnati con un asterisco sono obbligatori</t>
  </si>
  <si>
    <t>* * * Compilate completamente la segzione sotto elencata,TUTTI I CAMPI SONO OBBLIGATORI * * *</t>
  </si>
  <si>
    <t>Nome azienda:</t>
  </si>
  <si>
    <t>Indirizzo azienda</t>
  </si>
  <si>
    <t>Codice postale / città:</t>
  </si>
  <si>
    <t>Paese:</t>
  </si>
  <si>
    <t>Il tuo numero di riferimento:</t>
  </si>
  <si>
    <t>e-mail</t>
  </si>
  <si>
    <t>Indirizzo di spedizione:</t>
  </si>
  <si>
    <t>Persona di contatto:</t>
  </si>
  <si>
    <t>Data richiesta:</t>
  </si>
  <si>
    <t>Vedi anche pagina 2</t>
  </si>
  <si>
    <t>(OBBLIGATORIO)</t>
  </si>
  <si>
    <t>-Seleccionar-</t>
  </si>
  <si>
    <t>-Välj-</t>
  </si>
  <si>
    <t>Demande d'autorisation de retour matériel</t>
  </si>
  <si>
    <t>Le produit reçu n'est pas celui commandé</t>
  </si>
  <si>
    <t>Retour pour surstock</t>
  </si>
  <si>
    <t xml:space="preserve">Erreur de destinataire </t>
  </si>
  <si>
    <t>Reçu / envoyé trop tard</t>
  </si>
  <si>
    <t>Erreur de commande</t>
  </si>
  <si>
    <t>Livraisons partielles refusées</t>
  </si>
  <si>
    <t>Reçu / envoyé trop tôt</t>
  </si>
  <si>
    <t>Livraison endommagée</t>
  </si>
  <si>
    <t>Le produit a-t-il été utilisé?</t>
  </si>
  <si>
    <t>Le produit a-t-il fonctionné?</t>
  </si>
  <si>
    <t>Numéro de votre commande d'origine ou de notre facture d'origine?</t>
  </si>
  <si>
    <t>Date d'achat du produit? MM/JJ/AA</t>
  </si>
  <si>
    <t>Description de la panne constatée, en cas de produit défectueux</t>
  </si>
  <si>
    <t>Ne mélangez pas plusieurs RMAs dans un seul colis. Chaque colis doit comporter son étiquette RMA.</t>
  </si>
  <si>
    <t>*** MERCI DE COMPLETER ENTIEREMENT LA SECTION SUIVANTE, CHAQUE CHAMP EST OBLIGATOIRE***</t>
  </si>
  <si>
    <t>Contact :</t>
  </si>
  <si>
    <t>Date démandée :</t>
  </si>
  <si>
    <t>Selecteer een retour reden*</t>
  </si>
  <si>
    <t>Als u meerdere RMA's ontvangt zult u uw zending moeten opsplitsen en separaat moeten verzenden middels het bijhorende verzendlabel.</t>
  </si>
  <si>
    <t>Notitie: Ongebruikte producten zijn compleet in een originele verzegelde verpakking.</t>
  </si>
  <si>
    <t>*** VUL A.U.B. DE VOLGENDE SECTIE GEHEEL IN, ALLE VELDEN ZIJN VERPLICHT ***</t>
  </si>
  <si>
    <t>Bedrijfsadres</t>
  </si>
  <si>
    <t>PORTUGUESE</t>
  </si>
  <si>
    <t>Razão da devolução</t>
  </si>
  <si>
    <t>O Producto tem defeito</t>
  </si>
  <si>
    <t>Producto errado recebido</t>
  </si>
  <si>
    <t>Quantidade errada recebida</t>
  </si>
  <si>
    <t>Devolução por excesso de stock</t>
  </si>
  <si>
    <t>Carga errada recebida</t>
  </si>
  <si>
    <t>Projecto cancelado</t>
  </si>
  <si>
    <t>Carga recebida tarde de mais</t>
  </si>
  <si>
    <t>Encomendado producto errado</t>
  </si>
  <si>
    <t>Encomenda recebida várias vezes</t>
  </si>
  <si>
    <t>Carga recebida várias vezes</t>
  </si>
  <si>
    <t>Carga recebida cedo de mais</t>
  </si>
  <si>
    <t>Carga recebida danificada</t>
  </si>
  <si>
    <t>O Producto foi usado?</t>
  </si>
  <si>
    <t>Sim</t>
  </si>
  <si>
    <t>Não</t>
  </si>
  <si>
    <t>O Producto alguma vez funcionou?</t>
  </si>
  <si>
    <t>Código do producto</t>
  </si>
  <si>
    <t xml:space="preserve">Quantidade  </t>
  </si>
  <si>
    <t>Qual é o nº da encomenda ou o nº da factura</t>
  </si>
  <si>
    <t>Quando comprou o producto</t>
  </si>
  <si>
    <t>Selecione a razão da devolução</t>
  </si>
  <si>
    <t>Descrição da falha dos produtos defeituosos</t>
  </si>
  <si>
    <t>Envie este documento para o endereço de e-mail acima. (Dependendo da região)</t>
  </si>
  <si>
    <t>Quando você receber vários RMA's tem que dividir a carga colocar cada RMA com a sua própria etiqueta de transporte.</t>
  </si>
  <si>
    <t>Não envie nenhum produto sem o número RMA.</t>
  </si>
  <si>
    <t>Nota: Os produtos não utilizados estão completos e nas embalagens originais por abrir e seladas.</t>
  </si>
  <si>
    <t>* Os campos marcados com um asterisco são obrigatórios</t>
  </si>
  <si>
    <t>*** Por favor preencha oaseguinte seção, todos os campos são obrigatórios ***</t>
  </si>
  <si>
    <t>Data de pedido:</t>
  </si>
  <si>
    <t>Ver também a págima 2</t>
  </si>
  <si>
    <t>-Selecione-</t>
  </si>
  <si>
    <t>Instruções:</t>
  </si>
  <si>
    <t>Contactos:</t>
  </si>
  <si>
    <t>Endereço:</t>
  </si>
  <si>
    <t>Niome da empresa:</t>
  </si>
  <si>
    <t>Código postal:</t>
  </si>
  <si>
    <t>A sua referência:</t>
  </si>
  <si>
    <t>Pessoa de contacto:</t>
  </si>
  <si>
    <t>(Mandatório)</t>
  </si>
  <si>
    <t>Code postal / Ville:</t>
  </si>
  <si>
    <t>Votre numéro de référence:</t>
  </si>
  <si>
    <t>Instruktioner:</t>
  </si>
  <si>
    <t>Product retour formulier</t>
  </si>
  <si>
    <t>Retour reden</t>
  </si>
  <si>
    <t>Formulário de Autorização de Devolução de Equipamento</t>
  </si>
  <si>
    <t>Sales Portugal</t>
  </si>
  <si>
    <t>Sales UK</t>
  </si>
  <si>
    <t>Customer Service Germany</t>
  </si>
  <si>
    <t>Customer Service Belgium</t>
  </si>
  <si>
    <t>Customer Service France</t>
  </si>
  <si>
    <t>Customer Service Spain</t>
  </si>
  <si>
    <t>Customer Service Italy</t>
  </si>
  <si>
    <t>Customer Service Portugal</t>
  </si>
  <si>
    <t>Customer Service UK</t>
  </si>
  <si>
    <t>Sales Denmark</t>
  </si>
  <si>
    <t>Customer Service Denmark</t>
  </si>
  <si>
    <t>Sales Norway</t>
  </si>
  <si>
    <t>Customer Service Norway</t>
  </si>
  <si>
    <t>Sales Sweden</t>
  </si>
  <si>
    <t>Customer Service Sweden</t>
  </si>
  <si>
    <t>Sales South Africa</t>
  </si>
  <si>
    <t>Customer Service South Africa</t>
  </si>
  <si>
    <t>Rücksendegrund</t>
  </si>
  <si>
    <t xml:space="preserve">Produkt ist defekt </t>
  </si>
  <si>
    <t>Lager Retoure</t>
  </si>
  <si>
    <t>Falschlieferung</t>
  </si>
  <si>
    <t>Projekt abgebrochen</t>
  </si>
  <si>
    <t>Lieferung zu spät</t>
  </si>
  <si>
    <t>Produkt falsch bestellt</t>
  </si>
  <si>
    <t>Doppelbestellung</t>
  </si>
  <si>
    <t>Doppellieferung</t>
  </si>
  <si>
    <t>Lieferung zu früh</t>
  </si>
  <si>
    <t>Lieferung beschädigt</t>
  </si>
  <si>
    <t>Wurde das Produkt benutzt ? (Gebrauchtspuren ?)</t>
  </si>
  <si>
    <t>Nein</t>
  </si>
  <si>
    <t>Hat das Produkt jemals funktioniert</t>
  </si>
  <si>
    <t>Artikelnummer</t>
  </si>
  <si>
    <t>Wie lautet die original Auftragsnummer / Rechnungsnummer ?</t>
  </si>
  <si>
    <t>Wann haben Sie das Produkt gekauft ?</t>
  </si>
  <si>
    <t>Wähle den Rücksendegrund</t>
  </si>
  <si>
    <t xml:space="preserve">Fehlerbeschreibungen defekter Produkte  </t>
  </si>
  <si>
    <t xml:space="preserve">Senden Sie dieses Dokument an die oben genannte Emailadresse </t>
  </si>
  <si>
    <t>Wenn Sie mehrere RMA Nummern erhalten haben, senden Sie diese bitte in getrennten Kartons mit dem dazugehörigen Rücksendelabel zurück.</t>
  </si>
  <si>
    <t>Senden Sie bitte keine Produkte ohne RMA Nummer zurück</t>
  </si>
  <si>
    <t>Hinweis: Unbenutzte Produkte sind komplett in ungeöffneter Originalverpackung</t>
  </si>
  <si>
    <t>Bitte füllen Sie den folgenden Abschnitt komplett aus. Alle Angaben sind notwendig (Pflichtfelder).</t>
  </si>
  <si>
    <t>Postleitzahl/Ort:</t>
  </si>
  <si>
    <t>Siehe auch Seite 2</t>
  </si>
  <si>
    <t>-Wähle-</t>
  </si>
  <si>
    <t>Menge*</t>
  </si>
  <si>
    <t>Ansprechpartner:</t>
  </si>
  <si>
    <t>(Pflichtfelder)</t>
  </si>
  <si>
    <t>Anforderungsdatum:</t>
  </si>
  <si>
    <t>Rücksendeadresse:</t>
  </si>
  <si>
    <t>Firmenname:</t>
  </si>
  <si>
    <t>Firmenadresse:</t>
  </si>
  <si>
    <t>Ihre Referenznummer:</t>
  </si>
  <si>
    <t>* Die mit einem Stern gekennzeichneten Felder sind Pflichtfelder</t>
  </si>
  <si>
    <t>Hinweis:</t>
  </si>
  <si>
    <t>Adresse:</t>
  </si>
  <si>
    <t>NORWEGIAN</t>
  </si>
  <si>
    <t>Retur beskrivelse</t>
  </si>
  <si>
    <t>Produktet er defekt</t>
  </si>
  <si>
    <t>Mottatt feil produkt</t>
  </si>
  <si>
    <t>Mottatt feil antall</t>
  </si>
  <si>
    <t>Nedskalering av lokalt lager</t>
  </si>
  <si>
    <t>Mottatt feil forsendelse</t>
  </si>
  <si>
    <t>Prosjekt kanselert</t>
  </si>
  <si>
    <t>Mottatt forsendelsen for sent</t>
  </si>
  <si>
    <t>Bestilt feil produkt</t>
  </si>
  <si>
    <t>Mottatt bestillingen flere ganger</t>
  </si>
  <si>
    <t>Mottatt forsendelsen flere ganger</t>
  </si>
  <si>
    <t>Mottatt forsendelsen får tidlig</t>
  </si>
  <si>
    <t>Forsendelsen er skadet</t>
  </si>
  <si>
    <t>Har produktet blitt benyttet?</t>
  </si>
  <si>
    <t>Nei</t>
  </si>
  <si>
    <t>Har produktet noen gang virket?</t>
  </si>
  <si>
    <t>Produkt kode</t>
  </si>
  <si>
    <t>Hva er det originale ordrenummer/faktura nummer?</t>
  </si>
  <si>
    <t>Feilbeskrivelse defekte produkter</t>
  </si>
  <si>
    <t>Att:</t>
  </si>
  <si>
    <t>Instruksjoner:</t>
  </si>
  <si>
    <t>Send dette dokumentet til e-post adressen over. (Avhengig av region)</t>
  </si>
  <si>
    <t>Hvis du mottar flere RMA nummer, må du splitte forsendelsen i flere kolli. Hver forsendelse må merkes med sitt spesifike RMA nummer.</t>
  </si>
  <si>
    <t>Ikke returner produkter uten RMA nummer.</t>
  </si>
  <si>
    <t>NB: Ubrukte produkter er komplett i uåpnet emballasje.</t>
  </si>
  <si>
    <t>*Felt merket med * er obligatoriske</t>
  </si>
  <si>
    <t>***VENNLIGST FYLL INN, ALLE FELT ER OBLIGATORISKE***</t>
  </si>
  <si>
    <t>Firma navn:</t>
  </si>
  <si>
    <t>Firma adresse:</t>
  </si>
  <si>
    <t>Postnummer / Sted:</t>
  </si>
  <si>
    <t>Ditt referanse nummer:</t>
  </si>
  <si>
    <t>Tlf:</t>
  </si>
  <si>
    <t>Leveringsadresse:</t>
  </si>
  <si>
    <t>Kontakt person:</t>
  </si>
  <si>
    <t>Sendingsdato:</t>
  </si>
  <si>
    <t>Se også side 2</t>
  </si>
  <si>
    <t>(OBLIGATORISK)</t>
  </si>
  <si>
    <t>-Velg-</t>
  </si>
  <si>
    <t>Skjema for godkjennelse av retur</t>
  </si>
  <si>
    <t>RMA Anforderungsschein</t>
  </si>
  <si>
    <t>Falsches Produkt erhalten</t>
  </si>
  <si>
    <t>Falsche Menge erhalten</t>
  </si>
  <si>
    <t>Wurde das Produkt benutzt ?</t>
  </si>
  <si>
    <t>D-MMM-YY</t>
  </si>
  <si>
    <t>MULTI_LG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</si>
  <si>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</si>
  <si>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</si>
  <si>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</si>
  <si>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</si>
  <si>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</si>
  <si>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</si>
  <si>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</si>
  <si>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</si>
  <si>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</si>
  <si>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</si>
  <si>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</si>
  <si>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</si>
  <si>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</si>
  <si>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</si>
  <si>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</si>
  <si>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</si>
  <si>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</si>
  <si>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</si>
  <si>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</si>
  <si>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</si>
  <si>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</si>
  <si>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</si>
  <si>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</si>
  <si>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</si>
  <si>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</si>
  <si>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</si>
  <si>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</si>
  <si>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</si>
  <si>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</si>
  <si>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</si>
  <si>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</si>
  <si>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</si>
  <si>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</si>
  <si>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</si>
  <si>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</si>
  <si>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</si>
  <si>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</si>
  <si>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</si>
  <si>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</si>
  <si>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</si>
  <si>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</si>
  <si>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</si>
  <si>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</si>
  <si>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</si>
  <si>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</si>
  <si>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</si>
  <si>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</si>
  <si>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</si>
  <si>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</si>
  <si>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</si>
  <si>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</si>
  <si>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</si>
  <si>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</si>
  <si>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</si>
  <si>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</si>
  <si>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</si>
  <si>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</si>
  <si>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</si>
  <si>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</si>
  <si>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</si>
  <si>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</si>
  <si>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</si>
  <si>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</si>
  <si>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</si>
  <si>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</si>
  <si>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</si>
  <si>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</si>
  <si>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</si>
  <si>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</si>
  <si>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</si>
  <si>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</si>
  <si>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</si>
  <si>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</si>
  <si>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</si>
  <si>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</si>
  <si>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</si>
  <si>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</si>
  <si>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</si>
  <si>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</si>
  <si>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</si>
  <si>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</si>
  <si>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</si>
  <si>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</si>
  <si>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</si>
  <si>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</si>
  <si>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</si>
  <si>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</si>
  <si>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Calculation</t>
  </si>
  <si>
    <t>Mnd-JJ</t>
  </si>
  <si>
    <t>MMM-YY</t>
  </si>
  <si>
    <t>&lt;120/no/yes</t>
  </si>
  <si>
    <t>&gt;120/no/yes</t>
  </si>
  <si>
    <t>&lt;120/no/-select-</t>
  </si>
  <si>
    <t>&gt;120/no/-select-</t>
  </si>
  <si>
    <t>&lt;120/yes/yes</t>
  </si>
  <si>
    <t>&gt;120/yes/yes</t>
  </si>
  <si>
    <t>&lt;120/yes/no</t>
  </si>
  <si>
    <t>&gt;120/yes/no</t>
  </si>
  <si>
    <t>&lt;120/no/no</t>
  </si>
  <si>
    <t>&gt;120/no/no</t>
  </si>
  <si>
    <t>MMM-AA</t>
  </si>
  <si>
    <t xml:space="preserve">MMMM.-AA </t>
  </si>
  <si>
    <t>YYYY-MM</t>
  </si>
  <si>
    <t>RMA-lomake</t>
  </si>
  <si>
    <t>Palautuksen syy</t>
  </si>
  <si>
    <t>Tuote on viallinen</t>
  </si>
  <si>
    <t>Väärä tuote</t>
  </si>
  <si>
    <t>Väärä määrä</t>
  </si>
  <si>
    <t>Ylivaraston palautus</t>
  </si>
  <si>
    <t>Väärä toimitus vastaanotettu</t>
  </si>
  <si>
    <t>Projekti peruuntunut</t>
  </si>
  <si>
    <t>Tuotteet saapuneet liian myöhään</t>
  </si>
  <si>
    <t>Tilattu väärä tuote</t>
  </si>
  <si>
    <t>Tilaus saapunut useasti</t>
  </si>
  <si>
    <t>Lähetys saapunut useasti</t>
  </si>
  <si>
    <t>Lähetys saapunut liian aikaisin</t>
  </si>
  <si>
    <t>Lähetys vaurioitunut</t>
  </si>
  <si>
    <t>Onko tuotetta käytetty?</t>
  </si>
  <si>
    <t>Kyllä</t>
  </si>
  <si>
    <t>Ei</t>
  </si>
  <si>
    <t>Onko tuote toiminut koskaan?</t>
  </si>
  <si>
    <t>Tuotekoodi*</t>
  </si>
  <si>
    <t>Määrä*</t>
  </si>
  <si>
    <t>Alkuperäinen tilaus- / laskunumero</t>
  </si>
  <si>
    <t>Koska tuote on ostettu?*</t>
  </si>
  <si>
    <t>Valitse palautuksen syy*</t>
  </si>
  <si>
    <t>Onko tuotetta käytetty?*</t>
  </si>
  <si>
    <t>Onko tuote koskaan toiminut?</t>
  </si>
  <si>
    <t>Viallisen tuotteen vikaseloste</t>
  </si>
  <si>
    <t>Osoite:</t>
  </si>
  <si>
    <t>Yhteyshenkilö:</t>
  </si>
  <si>
    <t>Ohjeet:</t>
  </si>
  <si>
    <t>Lähetä tämä kaavake edellä olevaan sähköpostiosoitteeseen. (Alueen mukaan)</t>
  </si>
  <si>
    <t>Mikäli saat useamman RMA-numeron, tulee jokainen RMA-numero pakata erikseen niin että saatu RMA-numero on näkyvissä pakkauksessa.</t>
  </si>
  <si>
    <t>Älä palauta mitään tuotteita ilman RMA-numeroa.</t>
  </si>
  <si>
    <t>Huom: Käyttämättömien tuotteiden tulee olla alkuperäisessä ja avaamattomassa pakkauksessaan.</t>
  </si>
  <si>
    <t>* merkityt kohdat ovat pakollisia</t>
  </si>
  <si>
    <t>***TÄYTÄ SEURAAVA OSA KOKONAAN. KAIKKI KENTÄT OVAT PAKOLLISIA***</t>
  </si>
  <si>
    <t>Yrityksen nimi:</t>
  </si>
  <si>
    <t>Yrityksen osoite</t>
  </si>
  <si>
    <t>Postinumero / -toimipaikka:</t>
  </si>
  <si>
    <t>Maa:</t>
  </si>
  <si>
    <t>Asiakkaan viite:</t>
  </si>
  <si>
    <t>Puh:</t>
  </si>
  <si>
    <t>Sähköposti:</t>
  </si>
  <si>
    <t>Toimitusosoite:</t>
  </si>
  <si>
    <t>Päivämäärä:</t>
  </si>
  <si>
    <t>Katso myös sivu 2</t>
  </si>
  <si>
    <t>(PAKOLLINEN)</t>
  </si>
  <si>
    <t>FINNISH</t>
  </si>
  <si>
    <t>-Valitse-</t>
  </si>
  <si>
    <t>Antall*</t>
  </si>
  <si>
    <t>Når bestilte du produktet?*</t>
  </si>
  <si>
    <t>Velg en retur årsak*</t>
  </si>
  <si>
    <t>Har produktet blitt benyttet?*</t>
  </si>
  <si>
    <t>MMM YYYY</t>
  </si>
  <si>
    <t>MMM JJ</t>
  </si>
  <si>
    <t>KK-V</t>
  </si>
  <si>
    <t>Customer Order error / Order Entry error / Shipping Department error</t>
  </si>
  <si>
    <t>Overstock Return</t>
  </si>
  <si>
    <t xml:space="preserve">no/yes/received wrong shipment </t>
  </si>
  <si>
    <t xml:space="preserve">yes/yes/received wrong shipment </t>
  </si>
  <si>
    <t>no/yes/project Cancelled</t>
  </si>
  <si>
    <t>Project Cancelled/Changed</t>
  </si>
  <si>
    <t>Order entry error</t>
  </si>
  <si>
    <t>Order entry error / Shipping department error</t>
  </si>
  <si>
    <t>check 120 days old</t>
  </si>
  <si>
    <t>Calculation date</t>
  </si>
  <si>
    <r>
      <t xml:space="preserve">Customer 
Appeasement
</t>
    </r>
    <r>
      <rPr>
        <b/>
        <sz val="9"/>
        <color indexed="30"/>
        <rFont val="Arial"/>
        <family val="2"/>
      </rPr>
      <t>Default: "No"</t>
    </r>
  </si>
  <si>
    <r>
      <t xml:space="preserve">Customer service advise: 
Direct to flow:
</t>
    </r>
    <r>
      <rPr>
        <b/>
        <sz val="9"/>
        <color indexed="30"/>
        <rFont val="Arial"/>
        <family val="2"/>
      </rPr>
      <t>(ADVISE - ORACLE RETURN REASON)</t>
    </r>
  </si>
  <si>
    <t>- Attach the XLS file to your ORACLE order.</t>
  </si>
  <si>
    <t>- For multiple RMA's you need to create multiple shipping forms.</t>
  </si>
  <si>
    <t xml:space="preserve">- Print this form on .PDF or .XPS and forward it together with the shipping label(s) and shipping instructions to your customer. </t>
  </si>
  <si>
    <r>
      <t xml:space="preserve">- After checking the form and checking the advise in column </t>
    </r>
    <r>
      <rPr>
        <sz val="9"/>
        <color indexed="10"/>
        <rFont val="Arial"/>
        <family val="2"/>
      </rPr>
      <t>"Customer service advise"</t>
    </r>
    <r>
      <rPr>
        <sz val="9"/>
        <color indexed="8"/>
        <rFont val="Arial"/>
        <family val="2"/>
      </rPr>
      <t xml:space="preserve"> and </t>
    </r>
    <r>
      <rPr>
        <sz val="9"/>
        <color indexed="10"/>
        <rFont val="Arial"/>
        <family val="2"/>
      </rPr>
      <t>"NOTE / Reminder"</t>
    </r>
    <r>
      <rPr>
        <sz val="9"/>
        <color indexed="8"/>
        <rFont val="Arial"/>
        <family val="2"/>
      </rPr>
      <t xml:space="preserve"> (each single row, provide an RMA number in RMA column on customers form)</t>
    </r>
  </si>
  <si>
    <r>
      <t xml:space="preserve"> </t>
    </r>
    <r>
      <rPr>
        <i/>
        <sz val="9"/>
        <color indexed="8"/>
        <rFont val="Arial"/>
        <family val="2"/>
      </rPr>
      <t xml:space="preserve"> Note: when there is no advise the customer maybe did not answer all questions.</t>
    </r>
  </si>
  <si>
    <t>/no/-select-</t>
  </si>
  <si>
    <t>/yes/-select-</t>
  </si>
  <si>
    <t>/no/no</t>
  </si>
  <si>
    <t>/yes/yes</t>
  </si>
  <si>
    <t>/no/yes</t>
  </si>
  <si>
    <t>/yes/no</t>
  </si>
  <si>
    <t>Tel &amp; Email:</t>
  </si>
  <si>
    <t xml:space="preserve">Tél &amp; Courriel : </t>
  </si>
  <si>
    <t>Tel &amp; E-Mail:</t>
  </si>
  <si>
    <t xml:space="preserve">Emp. &amp; Dirección de Entrega: </t>
  </si>
  <si>
    <t>Emp. &amp; Endereço de entrega:</t>
  </si>
  <si>
    <t xml:space="preserve">Emp. &amp; Dirección de recogida: </t>
  </si>
  <si>
    <t>Emp. &amp; Endereço de recolha:</t>
  </si>
  <si>
    <t xml:space="preserve">Ent. &amp; Adresse d'enlèvement: </t>
  </si>
  <si>
    <t>Ent. &amp; Adresse de livraison:</t>
  </si>
  <si>
    <t>RMA Request</t>
  </si>
  <si>
    <t>POLISH</t>
  </si>
  <si>
    <t>Formularz zwrotu materiałów</t>
  </si>
  <si>
    <t>Powod zwrotu</t>
  </si>
  <si>
    <t>Wybierz</t>
  </si>
  <si>
    <t xml:space="preserve">Uszkodzony produkt </t>
  </si>
  <si>
    <t>Otrzymano nieprawidłowy produkt</t>
  </si>
  <si>
    <t xml:space="preserve">Otrzymano niewlasciwa ilosc </t>
  </si>
  <si>
    <t>Zwrot Nadmiaru produktow</t>
  </si>
  <si>
    <t xml:space="preserve">Otrzymano bledna przesylke </t>
  </si>
  <si>
    <t xml:space="preserve">Projekt zostal anulowany </t>
  </si>
  <si>
    <t xml:space="preserve">Wysylke otrzymano za pozno </t>
  </si>
  <si>
    <t xml:space="preserve">Zamowiono niewlasciwy produkt </t>
  </si>
  <si>
    <t xml:space="preserve">Zamowienie otrzymano kilkakrotnie </t>
  </si>
  <si>
    <t xml:space="preserve">Zamowienie otrzymano za wczesnie </t>
  </si>
  <si>
    <t xml:space="preserve">Uszkodzone zamowienie </t>
  </si>
  <si>
    <t>Czy produkt byl uzyty ?</t>
  </si>
  <si>
    <t>Tak</t>
  </si>
  <si>
    <t>Nie</t>
  </si>
  <si>
    <t>Czy produkt kiedykolwiek dzialal?</t>
  </si>
  <si>
    <t>Nazwa artykulu*</t>
  </si>
  <si>
    <t xml:space="preserve">Ilosc* </t>
  </si>
  <si>
    <t>Jaki jest orginalny  numer zamówienia / numer faktury? *</t>
  </si>
  <si>
    <t>Kiedy produkt byl zakupiony?*</t>
  </si>
  <si>
    <t>Wybierz powod zwrotu*</t>
  </si>
  <si>
    <t>Czy produkt byl uzywany?*</t>
  </si>
  <si>
    <t>Pelny opis  usterki wadliwego produktu</t>
  </si>
  <si>
    <t>Kontakt :</t>
  </si>
  <si>
    <t>Instrukcje:</t>
  </si>
  <si>
    <t>Wyślij ten dokument na powyższy adres e-mail. (W zależności od regionu)</t>
  </si>
  <si>
    <t>Gdy otrzymasz wiele przesyłek RMA, musisz podzielić zamowienie  i zwrócić każdy produkt RMA z jego własną etykietę wysyłkową.</t>
  </si>
  <si>
    <t>Nie wysyłaj żadnych produktów bez numeru RMA.</t>
  </si>
  <si>
    <t>Uwaga: Niewykorzystane produkty są kompletne w oryginalnym zamkniętym, nieotwartym opakowaniu</t>
  </si>
  <si>
    <t>* Pola oznaczone gwiazdką są obowiązkowe</t>
  </si>
  <si>
    <t>***PROSZE  KOMPLETNIE WYPELNIC PONIZSZA SEKCJE, WSZYSTKIE  POLA SA OBOWIAZKOWE***</t>
  </si>
  <si>
    <t>Nazwa Firmy:</t>
  </si>
  <si>
    <t>Adres Firmy:</t>
  </si>
  <si>
    <t>Kod pocztowy/ Miasto :</t>
  </si>
  <si>
    <t>Kraj :</t>
  </si>
  <si>
    <t>Twoj numer referencyjny:</t>
  </si>
  <si>
    <t>Adres wysylki:</t>
  </si>
  <si>
    <t>Osoba kontaktowa:</t>
  </si>
  <si>
    <t>Numer Telefonu  / E-mail</t>
  </si>
  <si>
    <t>Data  wniosku:</t>
  </si>
  <si>
    <t>Zobacz rowniez strone 2</t>
  </si>
  <si>
    <t>(OBOWIAZKOWE)</t>
  </si>
  <si>
    <t> Miesiac-Rok</t>
  </si>
  <si>
    <t>Will be provided on the RMA shipping label</t>
  </si>
  <si>
    <t>Consignee</t>
  </si>
  <si>
    <t>Zal vermeld worden op het RMA shipping formulier</t>
  </si>
  <si>
    <t>Geadresseerde</t>
  </si>
  <si>
    <t>Se proporcionará en la etiqueta de envío de RMA</t>
  </si>
  <si>
    <t>Destinatario</t>
  </si>
  <si>
    <t>Será disponibilizado na etiqueta de envio de RMA</t>
  </si>
  <si>
    <t>Destinatário</t>
  </si>
  <si>
    <t>Sera indiqué sur l'étiquette de retour RMA</t>
  </si>
  <si>
    <t>Destinataire</t>
  </si>
  <si>
    <t>Wird auf dem RMA-Versandetikett angegeben</t>
  </si>
  <si>
    <t>Empfänger</t>
  </si>
  <si>
    <t>il numero di RMA sarà fornito sull'etichetta di spedizione</t>
  </si>
  <si>
    <t>Vil bli oppgitt på RMA shipping Label</t>
  </si>
  <si>
    <t>Mottaker</t>
  </si>
  <si>
    <t>Toimitetaan RMA-lomakkeella.</t>
  </si>
  <si>
    <t>Vastaanottaja</t>
  </si>
  <si>
    <t>Mottagare</t>
  </si>
  <si>
    <t>Będzie zawarte w dokumencie RMA shipping label</t>
  </si>
  <si>
    <t>Odbiorca</t>
  </si>
  <si>
    <t>Produkten är defekt</t>
  </si>
  <si>
    <t>Mottagit fel leverans</t>
  </si>
  <si>
    <t>Ursprungligt order-/fakturanummer?*</t>
  </si>
  <si>
    <t>Skicka detta dokument till e-postadress ovan</t>
  </si>
  <si>
    <t>Vid retur av flera olika RMA ska varje RMA ha sin egna fraktsedel.</t>
  </si>
  <si>
    <t>Returnera inga produkter utan RMA-nummer</t>
  </si>
  <si>
    <t>OBS! Oanvända produkter ska vara kompletta och oöppnade</t>
  </si>
  <si>
    <t>Postnummer/Ort:</t>
  </si>
  <si>
    <t>E-post:</t>
  </si>
  <si>
    <t>Tel &amp; E-post:</t>
  </si>
  <si>
    <t>Kommer att nämnas på RMA-fraktsedeln</t>
  </si>
  <si>
    <t>1-Jan-20</t>
  </si>
  <si>
    <t>1-Feb-20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</si>
  <si>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</si>
  <si>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</si>
  <si>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</si>
  <si>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</si>
  <si>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</si>
  <si>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</si>
  <si>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</si>
  <si>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</si>
  <si>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</si>
  <si>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</si>
  <si>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</si>
  <si>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</si>
  <si>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</si>
  <si>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</si>
  <si>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</si>
  <si>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</si>
  <si>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</si>
  <si>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</si>
  <si>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</si>
  <si>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</si>
  <si>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</si>
  <si>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</si>
  <si>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</si>
  <si>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</si>
  <si>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ene-20</t>
  </si>
  <si>
    <t>abr-20</t>
  </si>
  <si>
    <t>ago-20</t>
  </si>
  <si>
    <t>dic-20</t>
  </si>
  <si>
    <t>ene-21</t>
  </si>
  <si>
    <t>abr-21</t>
  </si>
  <si>
    <t>ago-21</t>
  </si>
  <si>
    <t>dic-21</t>
  </si>
  <si>
    <t>Fev-20</t>
  </si>
  <si>
    <t>Abr-20</t>
  </si>
  <si>
    <t>Mai-20</t>
  </si>
  <si>
    <t>Ago-20</t>
  </si>
  <si>
    <t>Set-20</t>
  </si>
  <si>
    <t>Out-20</t>
  </si>
  <si>
    <t>Dez-20</t>
  </si>
  <si>
    <t>Fev-21</t>
  </si>
  <si>
    <t>Abr-21</t>
  </si>
  <si>
    <t>Mai-21</t>
  </si>
  <si>
    <t>Ago-21</t>
  </si>
  <si>
    <t>Set-21</t>
  </si>
  <si>
    <t>Out-21</t>
  </si>
  <si>
    <t>Dez-21</t>
  </si>
  <si>
    <t>Styczen-20</t>
  </si>
  <si>
    <t>Luty-20</t>
  </si>
  <si>
    <t>Marzec-20</t>
  </si>
  <si>
    <t>Kwiecien-20</t>
  </si>
  <si>
    <t>Maj-20</t>
  </si>
  <si>
    <t>Czerwiec-20</t>
  </si>
  <si>
    <t>Lipiec-20</t>
  </si>
  <si>
    <t>Sierpien-20</t>
  </si>
  <si>
    <t>Wrzesien-20</t>
  </si>
  <si>
    <t>Pazdziernik-20</t>
  </si>
  <si>
    <t>Listopad-20</t>
  </si>
  <si>
    <t>Grudzien-20</t>
  </si>
  <si>
    <t>Styczen-21</t>
  </si>
  <si>
    <t>Luty-21</t>
  </si>
  <si>
    <t>Marzec-21</t>
  </si>
  <si>
    <t>Kwiecien-21</t>
  </si>
  <si>
    <t>Maj-21</t>
  </si>
  <si>
    <t>Czerwiec-21</t>
  </si>
  <si>
    <t>Lipiec-21</t>
  </si>
  <si>
    <t>Sierpien-21</t>
  </si>
  <si>
    <t>Wrzesien-21</t>
  </si>
  <si>
    <t>Pazdziernik-21</t>
  </si>
  <si>
    <t>Listopad-21</t>
  </si>
  <si>
    <t>Grudzien-21</t>
  </si>
  <si>
    <t>janv.-20</t>
  </si>
  <si>
    <t>févr.-20</t>
  </si>
  <si>
    <t>mars-20</t>
  </si>
  <si>
    <t>avr.-20</t>
  </si>
  <si>
    <t>mai-20</t>
  </si>
  <si>
    <t>juin-20</t>
  </si>
  <si>
    <t>juil.-20</t>
  </si>
  <si>
    <t>août-20</t>
  </si>
  <si>
    <t>sept.-20</t>
  </si>
  <si>
    <t>oct.-20</t>
  </si>
  <si>
    <t>nov.-20</t>
  </si>
  <si>
    <t>déc.-20</t>
  </si>
  <si>
    <t>janv.-21</t>
  </si>
  <si>
    <t>févr.-21</t>
  </si>
  <si>
    <t>mars-21</t>
  </si>
  <si>
    <t>avr.-21</t>
  </si>
  <si>
    <t>mai-21</t>
  </si>
  <si>
    <t>juin-21</t>
  </si>
  <si>
    <t>juil.-21</t>
  </si>
  <si>
    <t>août-21</t>
  </si>
  <si>
    <t>sept.-21</t>
  </si>
  <si>
    <t>oct.-21</t>
  </si>
  <si>
    <t>nov.-21</t>
  </si>
  <si>
    <t>déc.-21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</si>
  <si>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</si>
  <si>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</si>
  <si>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</si>
  <si>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</si>
  <si>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</si>
  <si>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</si>
  <si>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</si>
  <si>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</si>
  <si>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</si>
  <si>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</si>
  <si>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</si>
  <si>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</si>
  <si>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</si>
  <si>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</si>
  <si>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</si>
  <si>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</si>
  <si>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</si>
  <si>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</si>
  <si>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</si>
  <si>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</si>
  <si>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</si>
  <si>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</si>
  <si>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</si>
  <si>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</si>
  <si>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gen-20</t>
  </si>
  <si>
    <t>mag-20</t>
  </si>
  <si>
    <t>giu-20</t>
  </si>
  <si>
    <t>lug-20</t>
  </si>
  <si>
    <t>set-20</t>
  </si>
  <si>
    <t>ott-20</t>
  </si>
  <si>
    <t>gen-21</t>
  </si>
  <si>
    <t>mag-21</t>
  </si>
  <si>
    <t>giu-21</t>
  </si>
  <si>
    <t>lug-21</t>
  </si>
  <si>
    <t>set-21</t>
  </si>
  <si>
    <t>ott-21</t>
  </si>
  <si>
    <t>januar 2020</t>
  </si>
  <si>
    <t>februar 2020</t>
  </si>
  <si>
    <t>mars 2020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</si>
  <si>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</si>
  <si>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</si>
  <si>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</si>
  <si>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</si>
  <si>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</si>
  <si>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</si>
  <si>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</si>
  <si>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</si>
  <si>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>desember 2020</t>
  </si>
  <si>
    <t>januar 2021</t>
  </si>
  <si>
    <t>februar 2021</t>
  </si>
  <si>
    <t>mars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</si>
  <si>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</si>
  <si>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</si>
  <si>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</si>
  <si>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</si>
  <si>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</si>
  <si>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</si>
  <si>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</si>
  <si>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</si>
  <si>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desember 2021</t>
  </si>
  <si>
    <t>tammi-20</t>
  </si>
  <si>
    <t>helmi-20</t>
  </si>
  <si>
    <t>maalis-20</t>
  </si>
  <si>
    <t>huhti-20</t>
  </si>
  <si>
    <t>touko-20</t>
  </si>
  <si>
    <t>kesä-20</t>
  </si>
  <si>
    <t>heinä-20</t>
  </si>
  <si>
    <t>elo-20</t>
  </si>
  <si>
    <t>syys-20</t>
  </si>
  <si>
    <t>loka-20</t>
  </si>
  <si>
    <t>marras-20</t>
  </si>
  <si>
    <t>joulu-20</t>
  </si>
  <si>
    <t>tammi-21</t>
  </si>
  <si>
    <t>helmi-21</t>
  </si>
  <si>
    <t>maalis-21</t>
  </si>
  <si>
    <t>huhti-21</t>
  </si>
  <si>
    <t>touko-21</t>
  </si>
  <si>
    <t>kesä-21</t>
  </si>
  <si>
    <t>heinä-21</t>
  </si>
  <si>
    <t>elo-21</t>
  </si>
  <si>
    <t>syys-21</t>
  </si>
  <si>
    <t>loka-21</t>
  </si>
  <si>
    <t>marras-21</t>
  </si>
  <si>
    <t>joulu-21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</si>
  <si>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</si>
  <si>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</si>
  <si>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</si>
  <si>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</si>
  <si>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</si>
  <si>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</si>
  <si>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</si>
  <si>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</si>
  <si>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</si>
  <si>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</si>
  <si>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</si>
  <si>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</si>
  <si>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</si>
  <si>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</si>
  <si>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</si>
  <si>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</si>
  <si>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</si>
  <si>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</si>
  <si>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</si>
  <si>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</si>
  <si>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</si>
  <si>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</si>
  <si>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</si>
  <si>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jan-20</t>
  </si>
  <si>
    <t>feb-20</t>
  </si>
  <si>
    <t>mrt-20</t>
  </si>
  <si>
    <t>apr-20</t>
  </si>
  <si>
    <t>mei-20</t>
  </si>
  <si>
    <t>jun-20</t>
  </si>
  <si>
    <t>jul-20</t>
  </si>
  <si>
    <t>aug-20</t>
  </si>
  <si>
    <t>sep-20</t>
  </si>
  <si>
    <t>okt-20</t>
  </si>
  <si>
    <t>nov-20</t>
  </si>
  <si>
    <t>dec-20</t>
  </si>
  <si>
    <t>jan-21</t>
  </si>
  <si>
    <t>feb-21</t>
  </si>
  <si>
    <t>mrt-21</t>
  </si>
  <si>
    <t>apr-21</t>
  </si>
  <si>
    <t>mei-21</t>
  </si>
  <si>
    <t>jun-21</t>
  </si>
  <si>
    <t>jul-21</t>
  </si>
  <si>
    <t>aug-21</t>
  </si>
  <si>
    <t>sep-21</t>
  </si>
  <si>
    <t>okt-21</t>
  </si>
  <si>
    <t>nov-21</t>
  </si>
  <si>
    <t>dec-21</t>
  </si>
  <si>
    <t>RMA provided by Carrier customer Service</t>
  </si>
  <si>
    <t>RMA wordt verstrekt door de klantenservice Carrier</t>
  </si>
  <si>
    <t>Número de RMA facilitado por Carrier</t>
  </si>
  <si>
    <t>RMA fornecido pelo serviço de clientes da Carrier</t>
  </si>
  <si>
    <t>RMA von Carrier Kundenservice</t>
  </si>
  <si>
    <t>RMA fornito dal Customer Service di Carrier</t>
  </si>
  <si>
    <t>RMA utstedt av Carrier Kunde Service</t>
  </si>
  <si>
    <t>Carrier:n asiakaspalvelun antama RMA-numero</t>
  </si>
  <si>
    <t>RMA utfärdad av Carrier kundservice</t>
  </si>
  <si>
    <t>RMA  podane  przez Obsluge klienta Carrier</t>
  </si>
  <si>
    <t>Upewnij sie że to jest produkt Carrier</t>
  </si>
  <si>
    <t>Please  make sure it is a Carrier item</t>
  </si>
  <si>
    <t>Weet U zeker dat het om een Carrier artikel gaat?</t>
  </si>
  <si>
    <t xml:space="preserve">Asegurense que es un producto de Carrier </t>
  </si>
  <si>
    <t>Por favor certifique-se que é um producto da Carrier</t>
  </si>
  <si>
    <t>Merci de vérifier qu'il s'agit bien d'une référence Carrier</t>
  </si>
  <si>
    <t>Stellen Sie sicher, das es sich um ein Carrier Produkt handelt</t>
  </si>
  <si>
    <t>Assicurarsi che si tratta di un prodotto Carrier</t>
  </si>
  <si>
    <t>Vennligst sjekk at dette er et Carrier produkt</t>
  </si>
  <si>
    <t>Varmistathan että kyseessä on Carrier:n tuote</t>
  </si>
  <si>
    <t>Verifiera att det är en Carrier-artikel</t>
  </si>
  <si>
    <t>After verification, Carrier may authorize to return the product by issuing an RMA number and give you further information on how to return the goods.</t>
  </si>
  <si>
    <t>Na controle zal Carrier een goedkeuring geven doormiddel van het verstekken van een RMA en verdere instructies voor het retourneren.</t>
  </si>
  <si>
    <t>Una vez comprobado, Carrier puede autorizar la devolución del producto facilitándole un número de RMA y las instrucciones de devolución.</t>
  </si>
  <si>
    <t>Após a verificação a Carrier pode autorizar a devolução do produto mediante a emissão de um número de RMA e dar-lhe mais informações sobre como devolver os bens.</t>
  </si>
  <si>
    <t xml:space="preserve">Après vérification, Carrier peut autoriser le retour du produit en vous délivrant un numéro RMA. Vous recevrez alors les informations nécessaires au retour du matériel. </t>
  </si>
  <si>
    <t>Nach der Überprüfung wird Carrier Ihnen eine RMA Nummer erteilen und weitere Anweisungen für die Rücksendung mitteilen.</t>
  </si>
  <si>
    <t>Dopo la verifica, Carrier può autorizzare il ritorno del prodotto mediante l'emissione di un numero RMA e darvi ulteriori informazioni su come restituire la merce.</t>
  </si>
  <si>
    <t>Etter verifisjon, Carrier vil godkjenne returen og utstede et RMA nummer, og gi nærmere informasjon om hvordan returen skal behandles.</t>
  </si>
  <si>
    <t>Tarkastuksen jälkeen, Carrier antaa luvan tuotteen palauttamiselle antamalla RMA-numeron ja lisäohjeet tuotteen palauttamiselle.</t>
  </si>
  <si>
    <t>Efter kontroll kommer Carrier att återkomma med RMA-nummer samt vidare instruktioner för retur.</t>
  </si>
  <si>
    <t>Po weryfikacji ,  Carrier może upoważnić do zwrotu produktu przez wydanie numeru RMA i podanie dalszych informacji dotyczących sposobu zwrotu towaru.</t>
  </si>
  <si>
    <t>Carrier Customer number:</t>
  </si>
  <si>
    <t>Carrier klantnummer:</t>
  </si>
  <si>
    <t>Número de cliente Carrier:</t>
  </si>
  <si>
    <t>Nº de cliente da Carrier:</t>
  </si>
  <si>
    <t>Numéro de compte client Carrier:</t>
  </si>
  <si>
    <t>Carrier Kundennummer:</t>
  </si>
  <si>
    <t>Numero cliente Carrier:</t>
  </si>
  <si>
    <t>Carrier Kunde nummer:</t>
  </si>
  <si>
    <t>Carrier:n asiakasnumero:</t>
  </si>
  <si>
    <t>Carrier-kundnummer:</t>
  </si>
  <si>
    <t>Carrier Numer Klienta:</t>
  </si>
  <si>
    <t>cs.edc@carrier.com</t>
  </si>
  <si>
    <t>Sales NL</t>
  </si>
  <si>
    <t>Sales Ireland</t>
  </si>
  <si>
    <t>Sales Poland</t>
  </si>
  <si>
    <t>Sales Finland</t>
  </si>
  <si>
    <t>Customer Service Ireland</t>
  </si>
  <si>
    <t>Customer Service Poland</t>
  </si>
  <si>
    <t>Customer Service Finland</t>
  </si>
  <si>
    <t>asiakaspalvelu.fs@carrier.com</t>
  </si>
  <si>
    <t>Carrier Fire &amp; Security B.V.</t>
  </si>
  <si>
    <t>1-Mar-20</t>
  </si>
  <si>
    <t>1-Apr-20</t>
  </si>
  <si>
    <t>1-May-20</t>
  </si>
  <si>
    <t>1-Jun-20</t>
  </si>
  <si>
    <t>1-Jul-20</t>
  </si>
  <si>
    <t>1-Aug-20</t>
  </si>
  <si>
    <t>1-Sep-20</t>
  </si>
  <si>
    <t>1-Oct-20</t>
  </si>
  <si>
    <t>1-Nov-20</t>
  </si>
  <si>
    <t>1-Dec-20</t>
  </si>
  <si>
    <t>1-Jan-21</t>
  </si>
  <si>
    <t>1-Feb-21</t>
  </si>
  <si>
    <t>1-Mar-21</t>
  </si>
  <si>
    <t>1-Apr-21</t>
  </si>
  <si>
    <t>1-May-21</t>
  </si>
  <si>
    <t>1-Jun-21</t>
  </si>
  <si>
    <t>1-Jul-21</t>
  </si>
  <si>
    <t>1-Aug-21</t>
  </si>
  <si>
    <t>1-Sep-21</t>
  </si>
  <si>
    <t>1-Oct-21</t>
  </si>
  <si>
    <t>1-Nov-21</t>
  </si>
  <si>
    <t>1-Dec-21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</si>
  <si>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</si>
  <si>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</si>
  <si>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</si>
  <si>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</si>
  <si>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</si>
  <si>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</si>
  <si>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</si>
  <si>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</si>
  <si>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</si>
  <si>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</si>
  <si>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</si>
  <si>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</si>
  <si>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</si>
  <si>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</si>
  <si>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</si>
  <si>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</si>
  <si>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</si>
  <si>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</si>
  <si>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</si>
  <si>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</si>
  <si>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</si>
  <si>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</si>
  <si>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</si>
  <si>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</si>
  <si>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</si>
  <si>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</si>
  <si>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</si>
  <si>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</si>
  <si>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</si>
  <si>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</si>
  <si>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</si>
  <si>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</si>
  <si>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Oct-24</t>
  </si>
  <si>
    <t>Nov-24</t>
  </si>
  <si>
    <t>Dec-24</t>
  </si>
  <si>
    <t>1-Jan-22</t>
  </si>
  <si>
    <t>1-Feb-22</t>
  </si>
  <si>
    <t>1-Mar-22</t>
  </si>
  <si>
    <t>1-Apr-22</t>
  </si>
  <si>
    <t>1-May-22</t>
  </si>
  <si>
    <t>1-Jun-22</t>
  </si>
  <si>
    <t>1-Jul-22</t>
  </si>
  <si>
    <t>1-Aug-22</t>
  </si>
  <si>
    <t>1-Sep-22</t>
  </si>
  <si>
    <t>1-Oct-22</t>
  </si>
  <si>
    <t>1-Nov-22</t>
  </si>
  <si>
    <t>1-Dec-22</t>
  </si>
  <si>
    <t>1-Jan-23</t>
  </si>
  <si>
    <t>1-Feb-23</t>
  </si>
  <si>
    <t>1-Mar-23</t>
  </si>
  <si>
    <t>1-Apr-23</t>
  </si>
  <si>
    <t>1-May-23</t>
  </si>
  <si>
    <t>1-Jun-23</t>
  </si>
  <si>
    <t>1-Jul-23</t>
  </si>
  <si>
    <t>1-Aug-23</t>
  </si>
  <si>
    <t>1-Sep-23</t>
  </si>
  <si>
    <t>1-Oct-23</t>
  </si>
  <si>
    <t>1-Nov-23</t>
  </si>
  <si>
    <t>1-Dec-23</t>
  </si>
  <si>
    <t>1-Jan-24</t>
  </si>
  <si>
    <t>1-Feb-24</t>
  </si>
  <si>
    <t>1-Mar-24</t>
  </si>
  <si>
    <t>1-Apr-24</t>
  </si>
  <si>
    <t>1-May-24</t>
  </si>
  <si>
    <t>1-Jun-24</t>
  </si>
  <si>
    <t>1-Jul-24</t>
  </si>
  <si>
    <t>1-Aug-24</t>
  </si>
  <si>
    <t>1-Sep-24</t>
  </si>
  <si>
    <t>1-Oct-24</t>
  </si>
  <si>
    <t>1-Nov-24</t>
  </si>
  <si>
    <t>1-Dec-24</t>
  </si>
  <si>
    <t>mrt-24</t>
  </si>
  <si>
    <t>mei-24</t>
  </si>
  <si>
    <t>okt-24</t>
  </si>
  <si>
    <t>dec-24</t>
  </si>
  <si>
    <t>nov-24</t>
  </si>
  <si>
    <t>jan-24</t>
  </si>
  <si>
    <t>feb-24</t>
  </si>
  <si>
    <t>apr-24</t>
  </si>
  <si>
    <t>jun-24</t>
  </si>
  <si>
    <t>jul-24</t>
  </si>
  <si>
    <t>aug-24</t>
  </si>
  <si>
    <t>sep-24</t>
  </si>
  <si>
    <t>jan-23</t>
  </si>
  <si>
    <t>feb-23</t>
  </si>
  <si>
    <t>mrt-23</t>
  </si>
  <si>
    <t>apr-23</t>
  </si>
  <si>
    <t>mei-23</t>
  </si>
  <si>
    <t>jun-23</t>
  </si>
  <si>
    <t>jul-23</t>
  </si>
  <si>
    <t>aug-23</t>
  </si>
  <si>
    <t>sep-23</t>
  </si>
  <si>
    <t>okt-23</t>
  </si>
  <si>
    <t>nov-23</t>
  </si>
  <si>
    <t>dec-23</t>
  </si>
  <si>
    <t>jan-22</t>
  </si>
  <si>
    <t>feb-22</t>
  </si>
  <si>
    <t>mrt-22</t>
  </si>
  <si>
    <t>apr-22</t>
  </si>
  <si>
    <t>mei-22</t>
  </si>
  <si>
    <t>jun-22</t>
  </si>
  <si>
    <t>jul-22</t>
  </si>
  <si>
    <t>aug-22</t>
  </si>
  <si>
    <t>sep-22</t>
  </si>
  <si>
    <t>okt-22</t>
  </si>
  <si>
    <t>nov-22</t>
  </si>
  <si>
    <t>dec-22</t>
  </si>
  <si>
    <t>ene-24</t>
  </si>
  <si>
    <t>abr-24</t>
  </si>
  <si>
    <t>ago-24</t>
  </si>
  <si>
    <t>dic-24</t>
  </si>
  <si>
    <t>dic-23</t>
  </si>
  <si>
    <t>ene-23</t>
  </si>
  <si>
    <t>abr-23</t>
  </si>
  <si>
    <t>ago-23</t>
  </si>
  <si>
    <t>dic-22</t>
  </si>
  <si>
    <t>ene-22</t>
  </si>
  <si>
    <t>abr-22</t>
  </si>
  <si>
    <t>ago-22</t>
  </si>
  <si>
    <t>Fev-22</t>
  </si>
  <si>
    <t>Abr-22</t>
  </si>
  <si>
    <t>Mai-22</t>
  </si>
  <si>
    <t>Ago-22</t>
  </si>
  <si>
    <t>Set-22</t>
  </si>
  <si>
    <t>Out-22</t>
  </si>
  <si>
    <t>Dez-22</t>
  </si>
  <si>
    <t>Fev-23</t>
  </si>
  <si>
    <t>Abr-23</t>
  </si>
  <si>
    <t>Mai-23</t>
  </si>
  <si>
    <t>Ago-23</t>
  </si>
  <si>
    <t>Set-23</t>
  </si>
  <si>
    <t>Out-23</t>
  </si>
  <si>
    <t>Dez-23</t>
  </si>
  <si>
    <t>Fev-24</t>
  </si>
  <si>
    <t>Abr-24</t>
  </si>
  <si>
    <t>Mai-24</t>
  </si>
  <si>
    <t>Ago-24</t>
  </si>
  <si>
    <t>Set-24</t>
  </si>
  <si>
    <t>Out-24</t>
  </si>
  <si>
    <t>Dez-24</t>
  </si>
  <si>
    <t>Grudzien-24</t>
  </si>
  <si>
    <t>Styczen-24</t>
  </si>
  <si>
    <t>Luty-24</t>
  </si>
  <si>
    <t>Marzec-24</t>
  </si>
  <si>
    <t>Kwiecien-24</t>
  </si>
  <si>
    <t>Maj-24</t>
  </si>
  <si>
    <t>Czerwiec-24</t>
  </si>
  <si>
    <t>Lipiec-24</t>
  </si>
  <si>
    <t>Sierpien-24</t>
  </si>
  <si>
    <t>Wrzesien-24</t>
  </si>
  <si>
    <t>Pazdziernik-24</t>
  </si>
  <si>
    <t>Listopad-24</t>
  </si>
  <si>
    <t>janv.-24</t>
  </si>
  <si>
    <t>févr.-24</t>
  </si>
  <si>
    <t>mars-24</t>
  </si>
  <si>
    <t>avr.-24</t>
  </si>
  <si>
    <t>mai-24</t>
  </si>
  <si>
    <t>juin-24</t>
  </si>
  <si>
    <t>juil.-24</t>
  </si>
  <si>
    <t>août-24</t>
  </si>
  <si>
    <t>sept.-24</t>
  </si>
  <si>
    <t>oct.-24</t>
  </si>
  <si>
    <t>nov.-24</t>
  </si>
  <si>
    <t>déc.-24</t>
  </si>
  <si>
    <t>Jan 24</t>
  </si>
  <si>
    <t>Feb 24</t>
  </si>
  <si>
    <t>Mrz 24</t>
  </si>
  <si>
    <t>Apr 24</t>
  </si>
  <si>
    <t>Mai 24</t>
  </si>
  <si>
    <t>Jun 24</t>
  </si>
  <si>
    <t>Jul 24</t>
  </si>
  <si>
    <t>Aug 24</t>
  </si>
  <si>
    <t>Sep 24</t>
  </si>
  <si>
    <t>Okt 24</t>
  </si>
  <si>
    <t>Nov 24</t>
  </si>
  <si>
    <t>Dez 24</t>
  </si>
  <si>
    <t>gen-24</t>
  </si>
  <si>
    <t>mag-24</t>
  </si>
  <si>
    <t>giu-24</t>
  </si>
  <si>
    <t>lug-24</t>
  </si>
  <si>
    <t>set-24</t>
  </si>
  <si>
    <t>ott-24</t>
  </si>
  <si>
    <t>januar 2024</t>
  </si>
  <si>
    <t>februar 2024</t>
  </si>
  <si>
    <t>mars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</si>
  <si>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</si>
  <si>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</si>
  <si>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</si>
  <si>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</si>
  <si>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</si>
  <si>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</si>
  <si>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</si>
  <si>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</si>
  <si>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desember 2024</t>
  </si>
  <si>
    <t>tammi-24</t>
  </si>
  <si>
    <t>helmi-24</t>
  </si>
  <si>
    <t>maalis-24</t>
  </si>
  <si>
    <t>huhti-24</t>
  </si>
  <si>
    <t>touko-24</t>
  </si>
  <si>
    <t>kesä-24</t>
  </si>
  <si>
    <t>heinä-24</t>
  </si>
  <si>
    <t>elo-24</t>
  </si>
  <si>
    <t>syys-24</t>
  </si>
  <si>
    <t>loka-24</t>
  </si>
  <si>
    <t>marras-24</t>
  </si>
  <si>
    <t>joulu-24</t>
  </si>
  <si>
    <t>2024-01</t>
  </si>
  <si>
    <t>2024-02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</si>
  <si>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</si>
  <si>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</si>
  <si>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</si>
  <si>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</si>
  <si>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</si>
  <si>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</si>
  <si>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</si>
  <si>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</si>
  <si>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</si>
  <si>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Grudzien-23</t>
  </si>
  <si>
    <t>Styczen-23</t>
  </si>
  <si>
    <t>Luty-23</t>
  </si>
  <si>
    <t>Marzec-23</t>
  </si>
  <si>
    <t>Kwiecien-23</t>
  </si>
  <si>
    <t>Maj-23</t>
  </si>
  <si>
    <t>Czerwiec-23</t>
  </si>
  <si>
    <t>Lipiec-23</t>
  </si>
  <si>
    <t>Sierpien-23</t>
  </si>
  <si>
    <t>Wrzesien-23</t>
  </si>
  <si>
    <t>Pazdziernik-23</t>
  </si>
  <si>
    <t>Listopad-23</t>
  </si>
  <si>
    <t>janv.-23</t>
  </si>
  <si>
    <t>févr.-23</t>
  </si>
  <si>
    <t>mars-23</t>
  </si>
  <si>
    <t>avr.-23</t>
  </si>
  <si>
    <t>mai-23</t>
  </si>
  <si>
    <t>juin-23</t>
  </si>
  <si>
    <t>juil.-23</t>
  </si>
  <si>
    <t>août-23</t>
  </si>
  <si>
    <t>sept.-23</t>
  </si>
  <si>
    <t>oct.-23</t>
  </si>
  <si>
    <t>nov.-23</t>
  </si>
  <si>
    <t>déc.-23</t>
  </si>
  <si>
    <t>Mrz 23</t>
  </si>
  <si>
    <t>Mai 23</t>
  </si>
  <si>
    <t>Okt 23</t>
  </si>
  <si>
    <t>Dez 23</t>
  </si>
  <si>
    <t>gen-23</t>
  </si>
  <si>
    <t>mag-23</t>
  </si>
  <si>
    <t>giu-23</t>
  </si>
  <si>
    <t>lug-23</t>
  </si>
  <si>
    <t>set-23</t>
  </si>
  <si>
    <t>ott-23</t>
  </si>
  <si>
    <t>Jan 23</t>
  </si>
  <si>
    <t>Feb 23</t>
  </si>
  <si>
    <t>Apr 23</t>
  </si>
  <si>
    <t>Jun 23</t>
  </si>
  <si>
    <t>Jul 23</t>
  </si>
  <si>
    <t>Aug 23</t>
  </si>
  <si>
    <t>Sep 23</t>
  </si>
  <si>
    <t>Nov 23</t>
  </si>
  <si>
    <t>januar 2023</t>
  </si>
  <si>
    <t>februar 2023</t>
  </si>
  <si>
    <t>mars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</si>
  <si>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</si>
  <si>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</si>
  <si>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</si>
  <si>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</si>
  <si>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</si>
  <si>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</si>
  <si>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</si>
  <si>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</si>
  <si>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desember 2023</t>
  </si>
  <si>
    <t>tammi-23</t>
  </si>
  <si>
    <t>helmi-23</t>
  </si>
  <si>
    <t>maalis-23</t>
  </si>
  <si>
    <t>huhti-23</t>
  </si>
  <si>
    <t>touko-23</t>
  </si>
  <si>
    <t>kesä-23</t>
  </si>
  <si>
    <t>heinä-23</t>
  </si>
  <si>
    <t>elo-23</t>
  </si>
  <si>
    <t>syys-23</t>
  </si>
  <si>
    <t>loka-23</t>
  </si>
  <si>
    <t>marras-23</t>
  </si>
  <si>
    <t>joulu-23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</si>
  <si>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</si>
  <si>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</si>
  <si>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</si>
  <si>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</si>
  <si>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</si>
  <si>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</si>
  <si>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</si>
  <si>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</si>
  <si>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</si>
  <si>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</si>
  <si>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</si>
  <si>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2023-01</t>
  </si>
  <si>
    <t>2024-03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</si>
  <si>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</si>
  <si>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</si>
  <si>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</si>
  <si>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</si>
  <si>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</si>
  <si>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</si>
  <si>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</si>
  <si>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</si>
  <si>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</si>
  <si>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</si>
  <si>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</si>
  <si>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</si>
  <si>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mars 2022</t>
  </si>
  <si>
    <t>mai 2022</t>
  </si>
  <si>
    <t>juni 2022</t>
  </si>
  <si>
    <t>juli 2022</t>
  </si>
  <si>
    <t>oktober 2022</t>
  </si>
  <si>
    <t>desember 2022</t>
  </si>
  <si>
    <t>Styczen-22</t>
  </si>
  <si>
    <t>Luty-22</t>
  </si>
  <si>
    <t>Marzec-22</t>
  </si>
  <si>
    <t>Kwiecien-</t>
  </si>
  <si>
    <t>Maj-22</t>
  </si>
  <si>
    <t>Czerwiec-22</t>
  </si>
  <si>
    <t>Lipiec-22</t>
  </si>
  <si>
    <t>Sierpien-22</t>
  </si>
  <si>
    <t>Wrzesien-22</t>
  </si>
  <si>
    <t>Pazdziernik-22</t>
  </si>
  <si>
    <t>Listopad-22</t>
  </si>
  <si>
    <t>Grudzien-22</t>
  </si>
  <si>
    <t>janv.-22</t>
  </si>
  <si>
    <t>févr.-22</t>
  </si>
  <si>
    <t>mars-22</t>
  </si>
  <si>
    <t>avr.-22</t>
  </si>
  <si>
    <t>mai-22</t>
  </si>
  <si>
    <t>juin-22</t>
  </si>
  <si>
    <t>juil.-22</t>
  </si>
  <si>
    <t>août-22</t>
  </si>
  <si>
    <t>sept.-22</t>
  </si>
  <si>
    <t>oct.-22</t>
  </si>
  <si>
    <t>nov.-22</t>
  </si>
  <si>
    <t>déc.-22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</si>
  <si>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</si>
  <si>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</si>
  <si>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</si>
  <si>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</si>
  <si>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</si>
  <si>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</si>
  <si>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</si>
  <si>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</si>
  <si>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</si>
  <si>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</si>
  <si>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</si>
  <si>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</si>
  <si>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gen-22</t>
  </si>
  <si>
    <t>mag-22</t>
  </si>
  <si>
    <t>giu-22</t>
  </si>
  <si>
    <t>lug-22</t>
  </si>
  <si>
    <t>set-22</t>
  </si>
  <si>
    <t>ott-22</t>
  </si>
  <si>
    <t>januar 2022</t>
  </si>
  <si>
    <t>februar 2022</t>
  </si>
  <si>
    <t>april 2022</t>
  </si>
  <si>
    <t>august 2022</t>
  </si>
  <si>
    <t>september 2022</t>
  </si>
  <si>
    <t>november 2022</t>
  </si>
  <si>
    <t>joulu-22</t>
  </si>
  <si>
    <t>tammi-22</t>
  </si>
  <si>
    <t>helmi-22</t>
  </si>
  <si>
    <t>maalis-22</t>
  </si>
  <si>
    <t>huhti-22</t>
  </si>
  <si>
    <t>touko-22</t>
  </si>
  <si>
    <t>kesä-22</t>
  </si>
  <si>
    <t>heinä-22</t>
  </si>
  <si>
    <t>elo-22</t>
  </si>
  <si>
    <t>syys-22</t>
  </si>
  <si>
    <t>loka-22</t>
  </si>
  <si>
    <t>marras-22</t>
  </si>
  <si>
    <t>cs.poland@carrier.com</t>
  </si>
  <si>
    <t>EORI: NL80175744</t>
  </si>
  <si>
    <t>&lt; 2020</t>
  </si>
  <si>
    <t>Jan-25</t>
  </si>
  <si>
    <t>Feb-25</t>
  </si>
  <si>
    <t>Mar-25</t>
  </si>
  <si>
    <t>Apr-25</t>
  </si>
  <si>
    <t>May-25</t>
  </si>
  <si>
    <t>Jun-25</t>
  </si>
  <si>
    <t>Jul-25</t>
  </si>
  <si>
    <t>Aug-25</t>
  </si>
  <si>
    <t>Sep-25</t>
  </si>
  <si>
    <t>Oct-25</t>
  </si>
  <si>
    <t>Nov-25</t>
  </si>
  <si>
    <t>Dec-25</t>
  </si>
  <si>
    <t>Jan-26</t>
  </si>
  <si>
    <t>Feb-26</t>
  </si>
  <si>
    <t>Mar-26</t>
  </si>
  <si>
    <t>Apr-26</t>
  </si>
  <si>
    <t>May-26</t>
  </si>
  <si>
    <t>Jun-26</t>
  </si>
  <si>
    <t>Jul-26</t>
  </si>
  <si>
    <t>Aug-26</t>
  </si>
  <si>
    <t>Sep-26</t>
  </si>
  <si>
    <t>Oct-26</t>
  </si>
  <si>
    <t>Nov-26</t>
  </si>
  <si>
    <t>Dec-26</t>
  </si>
  <si>
    <t>1-Jan-25</t>
  </si>
  <si>
    <t>1-Feb-25</t>
  </si>
  <si>
    <t>1-Mar-25</t>
  </si>
  <si>
    <t>1-Apr-25</t>
  </si>
  <si>
    <t>1-May-25</t>
  </si>
  <si>
    <t>1-Jun-25</t>
  </si>
  <si>
    <t>1-Jul-25</t>
  </si>
  <si>
    <t>1-Aug-25</t>
  </si>
  <si>
    <t>1-Sep-25</t>
  </si>
  <si>
    <t>1-Oct-25</t>
  </si>
  <si>
    <t>1-Nov-25</t>
  </si>
  <si>
    <t>1-Dec-25</t>
  </si>
  <si>
    <t>1-Jan-26</t>
  </si>
  <si>
    <t>1-Feb-26</t>
  </si>
  <si>
    <t>1-Mar-26</t>
  </si>
  <si>
    <t>1-Apr-26</t>
  </si>
  <si>
    <t>1-May-26</t>
  </si>
  <si>
    <t>1-Jun-26</t>
  </si>
  <si>
    <t>1-Jul-26</t>
  </si>
  <si>
    <t>1-Aug-26</t>
  </si>
  <si>
    <t>1-Sep-26</t>
  </si>
  <si>
    <t>1-Oct-26</t>
  </si>
  <si>
    <t>1-Nov-26</t>
  </si>
  <si>
    <t>1-Dec-26</t>
  </si>
  <si>
    <t>2020-01</t>
  </si>
  <si>
    <t>jan-25</t>
  </si>
  <si>
    <t>feb-25</t>
  </si>
  <si>
    <t>mrt-25</t>
  </si>
  <si>
    <t>apr-25</t>
  </si>
  <si>
    <t>mei-25</t>
  </si>
  <si>
    <t>jun-25</t>
  </si>
  <si>
    <t>jul-25</t>
  </si>
  <si>
    <t>aug-25</t>
  </si>
  <si>
    <t>sep-25</t>
  </si>
  <si>
    <t>okt-25</t>
  </si>
  <si>
    <t>nov-25</t>
  </si>
  <si>
    <t>dec-25</t>
  </si>
  <si>
    <t>jan-26</t>
  </si>
  <si>
    <t>feb-26</t>
  </si>
  <si>
    <t>mrt-26</t>
  </si>
  <si>
    <t>apr-26</t>
  </si>
  <si>
    <t>mei-26</t>
  </si>
  <si>
    <t>jun-26</t>
  </si>
  <si>
    <t>jul-26</t>
  </si>
  <si>
    <t>aug-26</t>
  </si>
  <si>
    <t>sep-26</t>
  </si>
  <si>
    <t>okt-26</t>
  </si>
  <si>
    <t>nov-26</t>
  </si>
  <si>
    <t>dec-26</t>
  </si>
  <si>
    <t>ene-25</t>
  </si>
  <si>
    <t>abr-25</t>
  </si>
  <si>
    <t>ago-25</t>
  </si>
  <si>
    <t>dic-25</t>
  </si>
  <si>
    <t>ene-26</t>
  </si>
  <si>
    <t>abr-26</t>
  </si>
  <si>
    <t>ago-26</t>
  </si>
  <si>
    <t>dic-26</t>
  </si>
  <si>
    <t>Fev-25</t>
  </si>
  <si>
    <t>Abr-25</t>
  </si>
  <si>
    <t>Mai-25</t>
  </si>
  <si>
    <t>Ago-25</t>
  </si>
  <si>
    <t>Set-25</t>
  </si>
  <si>
    <t>Out-25</t>
  </si>
  <si>
    <t>Dez-25</t>
  </si>
  <si>
    <t>Fev-26</t>
  </si>
  <si>
    <t>Abr-26</t>
  </si>
  <si>
    <t>Mai-26</t>
  </si>
  <si>
    <t>Ago-26</t>
  </si>
  <si>
    <t>Set-26</t>
  </si>
  <si>
    <t>Out-26</t>
  </si>
  <si>
    <t>Dez-26</t>
  </si>
  <si>
    <t>Styczen-25</t>
  </si>
  <si>
    <t>Luty-25</t>
  </si>
  <si>
    <t>Marzec-25</t>
  </si>
  <si>
    <t>Kwiecien-25</t>
  </si>
  <si>
    <t>Maj-25</t>
  </si>
  <si>
    <t>Czerwiec-25</t>
  </si>
  <si>
    <t>Lipiec-25</t>
  </si>
  <si>
    <t>Sierpien-25</t>
  </si>
  <si>
    <t>Wrzesien-25</t>
  </si>
  <si>
    <t>Pazdziernik-25</t>
  </si>
  <si>
    <t>Listopad-25</t>
  </si>
  <si>
    <t>Grudzien-25</t>
  </si>
  <si>
    <t>Styczen-26</t>
  </si>
  <si>
    <t>Luty-26</t>
  </si>
  <si>
    <t>Marzec-26</t>
  </si>
  <si>
    <t>Kwiecien-26</t>
  </si>
  <si>
    <t>Maj-26</t>
  </si>
  <si>
    <t>Czerwiec-26</t>
  </si>
  <si>
    <t>Lipiec-26</t>
  </si>
  <si>
    <t>Sierpien-26</t>
  </si>
  <si>
    <t>Wrzesien-26</t>
  </si>
  <si>
    <t>Pazdziernik-26</t>
  </si>
  <si>
    <t>Listopad-26</t>
  </si>
  <si>
    <t>Grudzien-26</t>
  </si>
  <si>
    <t>janv.-25</t>
  </si>
  <si>
    <t>févr.-25</t>
  </si>
  <si>
    <t>mars-25</t>
  </si>
  <si>
    <t>avr.-25</t>
  </si>
  <si>
    <t>mai-25</t>
  </si>
  <si>
    <t>juin-25</t>
  </si>
  <si>
    <t>juil.-25</t>
  </si>
  <si>
    <t>août-25</t>
  </si>
  <si>
    <t>sept.-25</t>
  </si>
  <si>
    <t>oct.-25</t>
  </si>
  <si>
    <t>nov.-25</t>
  </si>
  <si>
    <t>déc.-25</t>
  </si>
  <si>
    <t>janv.-26</t>
  </si>
  <si>
    <t>févr.-26</t>
  </si>
  <si>
    <t>mars-26</t>
  </si>
  <si>
    <t>avr.-26</t>
  </si>
  <si>
    <t>mai-26</t>
  </si>
  <si>
    <t>juin-26</t>
  </si>
  <si>
    <t>juil.-26</t>
  </si>
  <si>
    <t>août-26</t>
  </si>
  <si>
    <t>sept.-26</t>
  </si>
  <si>
    <t>oct.-26</t>
  </si>
  <si>
    <t>nov.-26</t>
  </si>
  <si>
    <t>déc.-26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</si>
  <si>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</si>
  <si>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</si>
  <si>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</si>
  <si>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</si>
  <si>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</si>
  <si>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</si>
  <si>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</si>
  <si>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</si>
  <si>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</si>
  <si>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</si>
  <si>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</si>
  <si>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</si>
  <si>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Jan 26</t>
  </si>
  <si>
    <t>Feb 26</t>
  </si>
  <si>
    <t>Mrz 26</t>
  </si>
  <si>
    <t>Apr 26</t>
  </si>
  <si>
    <t>Mai 26</t>
  </si>
  <si>
    <t>Jun 26</t>
  </si>
  <si>
    <t>Jul 26</t>
  </si>
  <si>
    <t>Aug 26</t>
  </si>
  <si>
    <t>Sep 26</t>
  </si>
  <si>
    <t>Okt 26</t>
  </si>
  <si>
    <t>Nov 26</t>
  </si>
  <si>
    <t>Dez 26</t>
  </si>
  <si>
    <t>gen-25</t>
  </si>
  <si>
    <t>mag-25</t>
  </si>
  <si>
    <t>giu-25</t>
  </si>
  <si>
    <t>lug-25</t>
  </si>
  <si>
    <t>set-25</t>
  </si>
  <si>
    <t>ott-25</t>
  </si>
  <si>
    <t>gen-26</t>
  </si>
  <si>
    <t>mag-26</t>
  </si>
  <si>
    <t>giu-26</t>
  </si>
  <si>
    <t>lug-26</t>
  </si>
  <si>
    <t>set-26</t>
  </si>
  <si>
    <t>ott-26</t>
  </si>
  <si>
    <t>januar 2025</t>
  </si>
  <si>
    <t>februar 2025</t>
  </si>
  <si>
    <t>mars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</si>
  <si>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</si>
  <si>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</si>
  <si>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</si>
  <si>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</si>
  <si>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</si>
  <si>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</si>
  <si>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</si>
  <si>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</si>
  <si>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desember 2025</t>
  </si>
  <si>
    <t>januar 2026</t>
  </si>
  <si>
    <t>februar 2026</t>
  </si>
  <si>
    <t>mars 2026</t>
  </si>
  <si>
    <t>april 2026</t>
  </si>
  <si>
    <t>mai 2026</t>
  </si>
  <si>
    <t>juni 2026</t>
  </si>
  <si>
    <t>juli 2026</t>
  </si>
  <si>
    <t>august 2026</t>
  </si>
  <si>
    <t>september 2026</t>
  </si>
  <si>
    <t>oktober 2026</t>
  </si>
  <si>
    <t>november 2026</t>
  </si>
  <si>
    <t>desember 2026</t>
  </si>
  <si>
    <t>tammi-25</t>
  </si>
  <si>
    <t>helmi-25</t>
  </si>
  <si>
    <t>maalis-25</t>
  </si>
  <si>
    <t>huhti-25</t>
  </si>
  <si>
    <t>touko-25</t>
  </si>
  <si>
    <t>kesä-25</t>
  </si>
  <si>
    <t>heinä-25</t>
  </si>
  <si>
    <t>elo-25</t>
  </si>
  <si>
    <t>syys-25</t>
  </si>
  <si>
    <t>loka-25</t>
  </si>
  <si>
    <t>marras-25</t>
  </si>
  <si>
    <t>joulu-25</t>
  </si>
  <si>
    <t>tammi-26</t>
  </si>
  <si>
    <t>helmi-26</t>
  </si>
  <si>
    <t>maalis-26</t>
  </si>
  <si>
    <t>huhti-26</t>
  </si>
  <si>
    <t>touko-26</t>
  </si>
  <si>
    <t>kesä-26</t>
  </si>
  <si>
    <t>heinä-26</t>
  </si>
  <si>
    <t>elo-26</t>
  </si>
  <si>
    <t>syys-26</t>
  </si>
  <si>
    <t>loka-26</t>
  </si>
  <si>
    <t>marras-26</t>
  </si>
  <si>
    <t>joulu-26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</si>
  <si>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</si>
  <si>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</si>
  <si>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</si>
  <si>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</si>
  <si>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</si>
  <si>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</si>
  <si>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</si>
  <si>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</si>
  <si>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</si>
  <si>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</si>
  <si>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</si>
  <si>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</si>
  <si>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2026-01</t>
  </si>
  <si>
    <t>2026-02</t>
  </si>
  <si>
    <t>2026-03</t>
  </si>
  <si>
    <t>2026-04</t>
  </si>
  <si>
    <t>2026-05</t>
  </si>
  <si>
    <t>2026-06</t>
  </si>
  <si>
    <t>2026-07</t>
  </si>
  <si>
    <t>2026-08</t>
  </si>
  <si>
    <t>2026-09</t>
  </si>
  <si>
    <t>2026-10</t>
  </si>
  <si>
    <t>2026-11</t>
  </si>
  <si>
    <t>2026-12</t>
  </si>
  <si>
    <t>cs.nederland@carrier.com</t>
  </si>
  <si>
    <t>cs.germany@carrier.com</t>
  </si>
  <si>
    <t>cs.belgium@carrier.com</t>
  </si>
  <si>
    <t>cs.france@carrier.com</t>
  </si>
  <si>
    <t>cs.spain@carrier.com</t>
  </si>
  <si>
    <t>cs.italy@carrier.com</t>
  </si>
  <si>
    <t>cs.portugal@carrier.com</t>
  </si>
  <si>
    <t>cs.uk@carrier.com</t>
  </si>
  <si>
    <t>cs.denmark@carrier.com</t>
  </si>
  <si>
    <t>cs.norway@carrier.com</t>
  </si>
  <si>
    <t>cs.sweden@carrier.com</t>
  </si>
  <si>
    <t>cs.ssa@carrier.com</t>
  </si>
  <si>
    <t>cs.ireland@carrier.com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</si>
</sst>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d\-mmmm\-yyyy"/>
  </numFmts>
  <fonts count="50" x14ac:knownFonts="1">
    <font>
      <sz val="11"/>
      <color theme="1"/>
      <name val="Arial"/>
      <family val="2"/>
    </font>
    <font>
      <b/>
      <sz val="9"/>
      <color indexed="3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b/>
      <sz val="8.5"/>
      <color indexed="53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9"/>
      <color theme="3"/>
      <name val="Arial"/>
      <family val="2"/>
    </font>
    <font>
      <b/>
      <sz val="9"/>
      <color theme="1"/>
      <name val="Arial"/>
      <family val="2"/>
    </font>
    <font>
      <b/>
      <sz val="9"/>
      <color theme="9"/>
      <name val="Arial"/>
      <family val="2"/>
    </font>
    <font>
      <sz val="9"/>
      <color theme="1"/>
      <name val="Arial"/>
      <family val="2"/>
    </font>
    <font>
      <i/>
      <sz val="8"/>
      <color theme="3"/>
      <name val="Arial"/>
      <family val="2"/>
    </font>
    <font>
      <sz val="9"/>
      <color rgb="FFFF0000"/>
      <name val="Arial"/>
      <family val="2"/>
    </font>
    <font>
      <sz val="18"/>
      <color theme="3"/>
      <name val="Arial"/>
      <family val="2"/>
    </font>
    <font>
      <b/>
      <sz val="9"/>
      <color theme="3"/>
      <name val="Arial"/>
      <family val="2"/>
    </font>
    <font>
      <b/>
      <sz val="11"/>
      <color theme="9"/>
      <name val="Arial"/>
      <family val="2"/>
    </font>
    <font>
      <sz val="11"/>
      <color theme="3"/>
      <name val="Arial"/>
      <family val="2"/>
    </font>
    <font>
      <b/>
      <sz val="9"/>
      <color rgb="FFFF0000"/>
      <name val="Arial"/>
      <family val="2"/>
    </font>
    <font>
      <sz val="9"/>
      <color theme="9" tint="-0.249977111117893"/>
      <name val="Arial"/>
      <family val="2"/>
    </font>
    <font>
      <sz val="9"/>
      <color theme="8"/>
      <name val="Arial"/>
      <family val="2"/>
    </font>
    <font>
      <b/>
      <sz val="8.5"/>
      <color theme="3"/>
      <name val="Arial"/>
      <family val="2"/>
    </font>
    <font>
      <sz val="9"/>
      <color theme="0" tint="-0.34998626667073579"/>
      <name val="Arial"/>
      <family val="2"/>
    </font>
    <font>
      <i/>
      <sz val="7"/>
      <color theme="9" tint="-0.249977111117893"/>
      <name val="Arial"/>
      <family val="2"/>
    </font>
    <font>
      <b/>
      <sz val="9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u/>
      <sz val="11"/>
      <color theme="1"/>
      <name val="Arial"/>
      <family val="2"/>
    </font>
    <font>
      <u/>
      <sz val="11"/>
      <color rgb="FF0000FF"/>
      <name val="Arial"/>
      <family val="2"/>
    </font>
    <font>
      <sz val="9"/>
      <color rgb="FF0000FF"/>
      <name val="Arial"/>
      <family val="2"/>
    </font>
    <font>
      <b/>
      <sz val="9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b/>
      <sz val="28"/>
      <color rgb="FFFF0000"/>
      <name val="Arial"/>
      <family val="2"/>
    </font>
    <font>
      <sz val="11"/>
      <color rgb="FF000000"/>
      <name val="Arial"/>
      <family val="2"/>
    </font>
    <font>
      <sz val="11"/>
      <color rgb="FFFFFF00"/>
      <name val="Arial"/>
      <family val="2"/>
    </font>
    <font>
      <b/>
      <sz val="11"/>
      <color rgb="FFFFFF00"/>
      <name val="Arial"/>
      <family val="2"/>
    </font>
    <font>
      <b/>
      <sz val="11"/>
      <color rgb="FFFF0000"/>
      <name val="Arial"/>
      <family val="2"/>
    </font>
    <font>
      <b/>
      <sz val="9"/>
      <color theme="4"/>
      <name val="Arial"/>
      <family val="2"/>
    </font>
    <font>
      <sz val="11"/>
      <color theme="4"/>
      <name val="Arial"/>
      <family val="2"/>
    </font>
    <font>
      <b/>
      <sz val="12"/>
      <color theme="9" tint="-0.249977111117893"/>
      <name val="Arial"/>
      <family val="2"/>
    </font>
    <font>
      <sz val="11"/>
      <color theme="0" tint="-0.34998626667073579"/>
      <name val="Arial"/>
      <family val="2"/>
    </font>
    <font>
      <sz val="8.5"/>
      <color theme="1"/>
      <name val="Arial"/>
      <family val="2"/>
    </font>
    <font>
      <b/>
      <u/>
      <sz val="9"/>
      <color theme="10"/>
      <name val="Arial"/>
      <family val="2"/>
    </font>
    <font>
      <b/>
      <sz val="36"/>
      <color theme="1"/>
      <name val="Arial"/>
      <family val="2"/>
    </font>
    <font>
      <sz val="8"/>
      <name val="Arial"/>
      <family val="2"/>
    </font>
    <font>
      <sz val="11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1">
    <xf numFmtId="0" fontId="0" fillId="0" borderId="0" xfId="0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vertical="center" wrapText="1"/>
    </xf>
    <xf numFmtId="0" fontId="13" fillId="0" borderId="0" xfId="0" applyFont="1" applyAlignment="1">
      <alignment horizontal="center" readingOrder="1"/>
    </xf>
    <xf numFmtId="0" fontId="11" fillId="3" borderId="0" xfId="0" applyFont="1" applyFill="1"/>
    <xf numFmtId="0" fontId="0" fillId="3" borderId="0" xfId="0" applyFill="1"/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0" fillId="2" borderId="0" xfId="0" applyFill="1"/>
    <xf numFmtId="0" fontId="15" fillId="2" borderId="0" xfId="0" applyFont="1" applyFill="1"/>
    <xf numFmtId="0" fontId="14" fillId="2" borderId="0" xfId="0" applyFont="1" applyFill="1" applyAlignment="1">
      <alignment wrapText="1"/>
    </xf>
    <xf numFmtId="0" fontId="16" fillId="2" borderId="0" xfId="0" applyFont="1" applyFill="1" applyAlignment="1">
      <alignment horizontal="left" readingOrder="1"/>
    </xf>
    <xf numFmtId="0" fontId="16" fillId="2" borderId="0" xfId="0" applyFont="1" applyFill="1"/>
    <xf numFmtId="0" fontId="13" fillId="2" borderId="0" xfId="0" applyFont="1" applyFill="1" applyAlignment="1">
      <alignment horizontal="center" vertical="center"/>
    </xf>
    <xf numFmtId="0" fontId="13" fillId="4" borderId="0" xfId="0" applyFont="1" applyFill="1"/>
    <xf numFmtId="0" fontId="13" fillId="4" borderId="0" xfId="0" applyFont="1" applyFill="1" applyAlignment="1">
      <alignment wrapText="1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/>
    </xf>
    <xf numFmtId="0" fontId="0" fillId="0" borderId="0" xfId="0" quotePrefix="1"/>
    <xf numFmtId="0" fontId="16" fillId="2" borderId="0" xfId="0" applyFont="1" applyFill="1" applyAlignment="1">
      <alignment horizontal="left" vertical="center"/>
    </xf>
    <xf numFmtId="0" fontId="13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0" fillId="2" borderId="0" xfId="0" applyFont="1" applyFill="1" applyAlignment="1">
      <alignment horizontal="center" vertical="center" wrapText="1" readingOrder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11" fillId="3" borderId="0" xfId="0" quotePrefix="1" applyFont="1" applyFill="1"/>
    <xf numFmtId="0" fontId="16" fillId="0" borderId="10" xfId="0" applyFont="1" applyBorder="1" applyAlignment="1" applyProtection="1">
      <alignment horizontal="center" vertical="center" wrapText="1"/>
      <protection locked="0"/>
    </xf>
    <xf numFmtId="1" fontId="16" fillId="0" borderId="11" xfId="0" applyNumberFormat="1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1" fontId="16" fillId="0" borderId="13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vertical="center"/>
    </xf>
    <xf numFmtId="0" fontId="20" fillId="5" borderId="16" xfId="0" applyFont="1" applyFill="1" applyBorder="1" applyAlignment="1">
      <alignment horizontal="center" vertical="center" wrapText="1" readingOrder="1"/>
    </xf>
    <xf numFmtId="0" fontId="20" fillId="5" borderId="17" xfId="0" applyFont="1" applyFill="1" applyBorder="1" applyAlignment="1">
      <alignment horizontal="center" vertical="center" wrapText="1" readingOrder="1"/>
    </xf>
    <xf numFmtId="0" fontId="20" fillId="5" borderId="18" xfId="0" applyFont="1" applyFill="1" applyBorder="1" applyAlignment="1">
      <alignment horizontal="center" vertical="center" wrapText="1" readingOrder="1"/>
    </xf>
    <xf numFmtId="0" fontId="23" fillId="6" borderId="17" xfId="0" applyFont="1" applyFill="1" applyBorder="1" applyAlignment="1">
      <alignment horizontal="center" vertical="center" wrapText="1" readingOrder="1"/>
    </xf>
    <xf numFmtId="0" fontId="23" fillId="6" borderId="19" xfId="0" applyFont="1" applyFill="1" applyBorder="1" applyAlignment="1">
      <alignment horizontal="center" vertical="center" wrapText="1" readingOrder="1"/>
    </xf>
    <xf numFmtId="0" fontId="14" fillId="2" borderId="0" xfId="0" applyFont="1" applyFill="1" applyAlignment="1" applyProtection="1">
      <alignment horizontal="left" vertical="center"/>
      <protection locked="0"/>
    </xf>
    <xf numFmtId="49" fontId="14" fillId="2" borderId="0" xfId="0" applyNumberFormat="1" applyFont="1" applyFill="1" applyAlignment="1" applyProtection="1">
      <alignment horizontal="left"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23" fillId="4" borderId="0" xfId="0" applyFont="1" applyFill="1" applyAlignment="1">
      <alignment wrapText="1"/>
    </xf>
    <xf numFmtId="0" fontId="0" fillId="7" borderId="20" xfId="0" applyFill="1" applyBorder="1" applyAlignment="1">
      <alignment wrapText="1"/>
    </xf>
    <xf numFmtId="0" fontId="14" fillId="2" borderId="0" xfId="0" applyFont="1" applyFill="1" applyAlignment="1">
      <alignment horizontal="left" readingOrder="1"/>
    </xf>
    <xf numFmtId="0" fontId="23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2" fillId="4" borderId="0" xfId="0" applyFont="1" applyFill="1" applyAlignment="1">
      <alignment vertical="center" wrapText="1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20" fillId="8" borderId="1" xfId="0" applyFont="1" applyFill="1" applyBorder="1" applyAlignment="1">
      <alignment wrapText="1"/>
    </xf>
    <xf numFmtId="0" fontId="13" fillId="8" borderId="1" xfId="0" applyFont="1" applyFill="1" applyBorder="1" applyAlignment="1">
      <alignment wrapText="1"/>
    </xf>
    <xf numFmtId="0" fontId="23" fillId="8" borderId="1" xfId="0" applyFont="1" applyFill="1" applyBorder="1" applyAlignment="1">
      <alignment wrapText="1"/>
    </xf>
    <xf numFmtId="0" fontId="18" fillId="8" borderId="1" xfId="0" applyFont="1" applyFill="1" applyBorder="1" applyAlignment="1">
      <alignment wrapText="1"/>
    </xf>
    <xf numFmtId="0" fontId="14" fillId="4" borderId="1" xfId="0" applyFont="1" applyFill="1" applyBorder="1" applyAlignment="1">
      <alignment vertical="center" wrapText="1"/>
    </xf>
    <xf numFmtId="0" fontId="0" fillId="9" borderId="22" xfId="0" applyFill="1" applyBorder="1" applyAlignment="1">
      <alignment wrapText="1"/>
    </xf>
    <xf numFmtId="0" fontId="0" fillId="10" borderId="20" xfId="0" applyFill="1" applyBorder="1" applyAlignment="1">
      <alignment wrapText="1"/>
    </xf>
    <xf numFmtId="0" fontId="0" fillId="11" borderId="20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8" borderId="20" xfId="0" applyFill="1" applyBorder="1" applyAlignment="1">
      <alignment wrapText="1"/>
    </xf>
    <xf numFmtId="0" fontId="0" fillId="6" borderId="20" xfId="0" applyFill="1" applyBorder="1" applyAlignment="1">
      <alignment wrapText="1"/>
    </xf>
    <xf numFmtId="0" fontId="0" fillId="0" borderId="20" xfId="0" applyBorder="1" applyAlignment="1">
      <alignment wrapText="1"/>
    </xf>
    <xf numFmtId="0" fontId="0" fillId="13" borderId="20" xfId="0" applyFill="1" applyBorder="1" applyAlignment="1">
      <alignment wrapText="1"/>
    </xf>
    <xf numFmtId="0" fontId="0" fillId="0" borderId="0" xfId="0" applyAlignment="1">
      <alignment wrapText="1"/>
    </xf>
    <xf numFmtId="0" fontId="25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 shrinkToFit="1" readingOrder="1"/>
    </xf>
    <xf numFmtId="0" fontId="26" fillId="0" borderId="24" xfId="0" applyFont="1" applyBorder="1" applyAlignment="1">
      <alignment horizontal="center" vertical="center" wrapText="1" shrinkToFit="1" readingOrder="1"/>
    </xf>
    <xf numFmtId="0" fontId="26" fillId="10" borderId="24" xfId="0" applyFont="1" applyFill="1" applyBorder="1" applyAlignment="1">
      <alignment horizontal="center" vertical="center" wrapText="1" shrinkToFit="1" readingOrder="1"/>
    </xf>
    <xf numFmtId="0" fontId="27" fillId="10" borderId="11" xfId="0" applyFont="1" applyFill="1" applyBorder="1" applyAlignment="1" applyProtection="1">
      <alignment horizontal="center" vertical="center" shrinkToFit="1"/>
      <protection locked="0"/>
    </xf>
    <xf numFmtId="0" fontId="27" fillId="10" borderId="13" xfId="0" applyFont="1" applyFill="1" applyBorder="1" applyAlignment="1" applyProtection="1">
      <alignment horizontal="center" vertical="center" shrinkToFit="1"/>
      <protection locked="0"/>
    </xf>
    <xf numFmtId="0" fontId="28" fillId="2" borderId="25" xfId="0" applyFont="1" applyFill="1" applyBorder="1" applyAlignment="1">
      <alignment horizontal="center" vertical="center" shrinkToFit="1" readingOrder="1"/>
    </xf>
    <xf numFmtId="0" fontId="29" fillId="2" borderId="26" xfId="0" applyFont="1" applyFill="1" applyBorder="1" applyAlignment="1">
      <alignment horizontal="center" vertical="center" wrapText="1" shrinkToFit="1" readingOrder="1"/>
    </xf>
    <xf numFmtId="0" fontId="29" fillId="2" borderId="27" xfId="0" applyFont="1" applyFill="1" applyBorder="1" applyAlignment="1">
      <alignment horizontal="center" vertical="center" wrapText="1" shrinkToFit="1"/>
    </xf>
    <xf numFmtId="0" fontId="30" fillId="2" borderId="28" xfId="0" applyFont="1" applyFill="1" applyBorder="1" applyAlignment="1">
      <alignment horizontal="center" vertical="center" wrapText="1" shrinkToFit="1"/>
    </xf>
    <xf numFmtId="0" fontId="27" fillId="10" borderId="21" xfId="0" applyFont="1" applyFill="1" applyBorder="1" applyAlignment="1" applyProtection="1">
      <alignment horizontal="center" vertical="center" shrinkToFit="1"/>
      <protection locked="0"/>
    </xf>
    <xf numFmtId="0" fontId="27" fillId="10" borderId="29" xfId="0" applyFont="1" applyFill="1" applyBorder="1" applyAlignment="1" applyProtection="1">
      <alignment horizontal="center" vertical="center" shrinkToFit="1"/>
      <protection locked="0"/>
    </xf>
    <xf numFmtId="0" fontId="24" fillId="0" borderId="11" xfId="0" applyFont="1" applyBorder="1" applyAlignment="1" applyProtection="1">
      <alignment horizontal="center" vertical="center" shrinkToFit="1"/>
      <protection locked="0"/>
    </xf>
    <xf numFmtId="0" fontId="16" fillId="4" borderId="0" xfId="0" applyFont="1" applyFill="1"/>
    <xf numFmtId="0" fontId="16" fillId="14" borderId="30" xfId="0" applyFont="1" applyFill="1" applyBorder="1"/>
    <xf numFmtId="0" fontId="16" fillId="14" borderId="31" xfId="0" applyFont="1" applyFill="1" applyBorder="1"/>
    <xf numFmtId="0" fontId="16" fillId="14" borderId="32" xfId="0" applyFont="1" applyFill="1" applyBorder="1"/>
    <xf numFmtId="0" fontId="16" fillId="4" borderId="0" xfId="0" applyFont="1" applyFill="1" applyAlignment="1">
      <alignment horizontal="center" vertical="center"/>
    </xf>
    <xf numFmtId="0" fontId="14" fillId="14" borderId="33" xfId="0" applyFont="1" applyFill="1" applyBorder="1" applyAlignment="1">
      <alignment horizontal="right"/>
    </xf>
    <xf numFmtId="0" fontId="31" fillId="14" borderId="0" xfId="1" applyFont="1" applyFill="1" applyBorder="1" applyAlignment="1"/>
    <xf numFmtId="0" fontId="16" fillId="14" borderId="0" xfId="0" applyFont="1" applyFill="1"/>
    <xf numFmtId="0" fontId="16" fillId="14" borderId="8" xfId="0" applyFont="1" applyFill="1" applyBorder="1"/>
    <xf numFmtId="0" fontId="16" fillId="14" borderId="33" xfId="0" applyFont="1" applyFill="1" applyBorder="1"/>
    <xf numFmtId="0" fontId="16" fillId="14" borderId="34" xfId="0" applyFont="1" applyFill="1" applyBorder="1"/>
    <xf numFmtId="0" fontId="16" fillId="14" borderId="35" xfId="0" applyFont="1" applyFill="1" applyBorder="1"/>
    <xf numFmtId="0" fontId="16" fillId="14" borderId="36" xfId="0" applyFont="1" applyFill="1" applyBorder="1"/>
    <xf numFmtId="0" fontId="14" fillId="15" borderId="30" xfId="0" applyFont="1" applyFill="1" applyBorder="1"/>
    <xf numFmtId="0" fontId="16" fillId="15" borderId="31" xfId="0" applyFont="1" applyFill="1" applyBorder="1"/>
    <xf numFmtId="0" fontId="16" fillId="15" borderId="32" xfId="0" applyFont="1" applyFill="1" applyBorder="1"/>
    <xf numFmtId="0" fontId="16" fillId="15" borderId="33" xfId="0" quotePrefix="1" applyFont="1" applyFill="1" applyBorder="1"/>
    <xf numFmtId="0" fontId="16" fillId="15" borderId="0" xfId="0" applyFont="1" applyFill="1"/>
    <xf numFmtId="0" fontId="16" fillId="15" borderId="8" xfId="0" applyFont="1" applyFill="1" applyBorder="1"/>
    <xf numFmtId="0" fontId="16" fillId="15" borderId="35" xfId="0" applyFont="1" applyFill="1" applyBorder="1"/>
    <xf numFmtId="0" fontId="16" fillId="15" borderId="36" xfId="0" applyFont="1" applyFill="1" applyBorder="1"/>
    <xf numFmtId="0" fontId="32" fillId="14" borderId="0" xfId="1" applyFont="1" applyFill="1" applyBorder="1" applyAlignment="1"/>
    <xf numFmtId="0" fontId="33" fillId="14" borderId="0" xfId="0" applyFont="1" applyFill="1"/>
    <xf numFmtId="0" fontId="20" fillId="4" borderId="0" xfId="0" applyFont="1" applyFill="1" applyAlignment="1">
      <alignment wrapText="1"/>
    </xf>
    <xf numFmtId="0" fontId="34" fillId="4" borderId="0" xfId="0" applyFont="1" applyFill="1" applyAlignment="1">
      <alignment wrapText="1"/>
    </xf>
    <xf numFmtId="0" fontId="35" fillId="4" borderId="0" xfId="0" applyFont="1" applyFill="1" applyAlignment="1">
      <alignment wrapText="1"/>
    </xf>
    <xf numFmtId="0" fontId="23" fillId="6" borderId="37" xfId="0" applyFont="1" applyFill="1" applyBorder="1" applyAlignment="1">
      <alignment horizontal="center" vertical="center" wrapText="1" readingOrder="1"/>
    </xf>
    <xf numFmtId="0" fontId="23" fillId="6" borderId="38" xfId="0" applyFont="1" applyFill="1" applyBorder="1" applyAlignment="1">
      <alignment horizontal="center" vertical="center" wrapText="1" readingOrder="1"/>
    </xf>
    <xf numFmtId="0" fontId="0" fillId="9" borderId="39" xfId="0" applyFill="1" applyBorder="1" applyAlignment="1">
      <alignment wrapText="1"/>
    </xf>
    <xf numFmtId="0" fontId="0" fillId="10" borderId="40" xfId="0" applyFill="1" applyBorder="1" applyAlignment="1">
      <alignment wrapText="1"/>
    </xf>
    <xf numFmtId="0" fontId="0" fillId="11" borderId="40" xfId="0" applyFill="1" applyBorder="1" applyAlignment="1">
      <alignment wrapText="1"/>
    </xf>
    <xf numFmtId="0" fontId="0" fillId="12" borderId="40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8" borderId="40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0" fillId="0" borderId="40" xfId="0" applyBorder="1" applyAlignment="1">
      <alignment wrapText="1"/>
    </xf>
    <xf numFmtId="0" fontId="0" fillId="13" borderId="40" xfId="0" applyFill="1" applyBorder="1" applyAlignment="1">
      <alignment wrapText="1"/>
    </xf>
    <xf numFmtId="0" fontId="9" fillId="16" borderId="0" xfId="0" applyFont="1" applyFill="1" applyAlignment="1">
      <alignment horizontal="center" wrapText="1"/>
    </xf>
    <xf numFmtId="0" fontId="8" fillId="16" borderId="0" xfId="0" applyFont="1" applyFill="1"/>
    <xf numFmtId="0" fontId="9" fillId="16" borderId="0" xfId="0" applyFont="1" applyFill="1"/>
    <xf numFmtId="0" fontId="20" fillId="5" borderId="41" xfId="0" applyFont="1" applyFill="1" applyBorder="1" applyAlignment="1">
      <alignment horizontal="center" vertical="center" wrapText="1" readingOrder="1"/>
    </xf>
    <xf numFmtId="0" fontId="20" fillId="5" borderId="37" xfId="0" applyFont="1" applyFill="1" applyBorder="1" applyAlignment="1">
      <alignment horizontal="center" vertical="center" wrapText="1" readingOrder="1"/>
    </xf>
    <xf numFmtId="0" fontId="20" fillId="5" borderId="42" xfId="0" applyFont="1" applyFill="1" applyBorder="1" applyAlignment="1">
      <alignment horizontal="center" vertical="center" wrapText="1" readingOrder="1"/>
    </xf>
    <xf numFmtId="0" fontId="23" fillId="4" borderId="0" xfId="0" applyFont="1" applyFill="1" applyAlignment="1">
      <alignment horizontal="right" vertical="center" wrapText="1"/>
    </xf>
    <xf numFmtId="164" fontId="24" fillId="2" borderId="43" xfId="0" quotePrefix="1" applyNumberFormat="1" applyFont="1" applyFill="1" applyBorder="1" applyAlignment="1" applyProtection="1">
      <alignment horizontal="center" vertical="center" shrinkToFit="1"/>
      <protection locked="0"/>
    </xf>
    <xf numFmtId="164" fontId="24" fillId="2" borderId="13" xfId="0" quotePrefix="1" applyNumberFormat="1" applyFont="1" applyFill="1" applyBorder="1" applyAlignment="1" applyProtection="1">
      <alignment horizontal="center" vertical="center" shrinkToFit="1"/>
      <protection locked="0"/>
    </xf>
    <xf numFmtId="0" fontId="36" fillId="4" borderId="0" xfId="0" applyFont="1" applyFill="1" applyAlignment="1">
      <alignment vertical="center"/>
    </xf>
    <xf numFmtId="0" fontId="0" fillId="10" borderId="40" xfId="0" quotePrefix="1" applyFill="1" applyBorder="1" applyAlignment="1">
      <alignment wrapText="1"/>
    </xf>
    <xf numFmtId="0" fontId="0" fillId="9" borderId="39" xfId="0" quotePrefix="1" applyFill="1" applyBorder="1" applyAlignment="1">
      <alignment wrapText="1"/>
    </xf>
    <xf numFmtId="0" fontId="0" fillId="10" borderId="44" xfId="0" applyFill="1" applyBorder="1" applyAlignment="1">
      <alignment wrapText="1"/>
    </xf>
    <xf numFmtId="0" fontId="0" fillId="18" borderId="44" xfId="0" applyFill="1" applyBorder="1" applyAlignment="1">
      <alignment wrapText="1"/>
    </xf>
    <xf numFmtId="0" fontId="9" fillId="16" borderId="45" xfId="0" applyFont="1" applyFill="1" applyBorder="1" applyAlignment="1">
      <alignment horizontal="center" wrapText="1"/>
    </xf>
    <xf numFmtId="0" fontId="0" fillId="18" borderId="20" xfId="0" applyFill="1" applyBorder="1" applyAlignment="1">
      <alignment wrapText="1"/>
    </xf>
    <xf numFmtId="0" fontId="0" fillId="0" borderId="46" xfId="0" applyBorder="1" applyAlignment="1">
      <alignment wrapText="1"/>
    </xf>
    <xf numFmtId="0" fontId="0" fillId="9" borderId="22" xfId="0" applyFill="1" applyBorder="1"/>
    <xf numFmtId="0" fontId="0" fillId="10" borderId="20" xfId="0" applyFill="1" applyBorder="1"/>
    <xf numFmtId="0" fontId="0" fillId="11" borderId="20" xfId="0" applyFill="1" applyBorder="1"/>
    <xf numFmtId="0" fontId="0" fillId="12" borderId="20" xfId="0" applyFill="1" applyBorder="1"/>
    <xf numFmtId="0" fontId="0" fillId="18" borderId="40" xfId="0" applyFill="1" applyBorder="1" applyAlignment="1">
      <alignment wrapText="1"/>
    </xf>
    <xf numFmtId="0" fontId="0" fillId="9" borderId="47" xfId="0" applyFill="1" applyBorder="1" applyAlignment="1">
      <alignment wrapText="1"/>
    </xf>
    <xf numFmtId="0" fontId="0" fillId="10" borderId="48" xfId="0" applyFill="1" applyBorder="1" applyAlignment="1">
      <alignment wrapText="1"/>
    </xf>
    <xf numFmtId="0" fontId="0" fillId="11" borderId="48" xfId="0" applyFill="1" applyBorder="1" applyAlignment="1">
      <alignment wrapText="1"/>
    </xf>
    <xf numFmtId="0" fontId="0" fillId="12" borderId="48" xfId="0" applyFill="1" applyBorder="1" applyAlignment="1">
      <alignment wrapText="1"/>
    </xf>
    <xf numFmtId="0" fontId="0" fillId="7" borderId="48" xfId="0" applyFill="1" applyBorder="1" applyAlignment="1">
      <alignment wrapText="1"/>
    </xf>
    <xf numFmtId="0" fontId="0" fillId="8" borderId="48" xfId="0" applyFill="1" applyBorder="1" applyAlignment="1">
      <alignment wrapText="1"/>
    </xf>
    <xf numFmtId="0" fontId="0" fillId="6" borderId="48" xfId="0" applyFill="1" applyBorder="1" applyAlignment="1">
      <alignment wrapText="1"/>
    </xf>
    <xf numFmtId="0" fontId="0" fillId="0" borderId="48" xfId="0" applyBorder="1" applyAlignment="1">
      <alignment wrapText="1"/>
    </xf>
    <xf numFmtId="0" fontId="0" fillId="13" borderId="48" xfId="0" applyFill="1" applyBorder="1" applyAlignment="1">
      <alignment wrapText="1"/>
    </xf>
    <xf numFmtId="0" fontId="0" fillId="10" borderId="20" xfId="0" quotePrefix="1" applyFill="1" applyBorder="1" applyAlignment="1">
      <alignment wrapText="1"/>
    </xf>
    <xf numFmtId="0" fontId="0" fillId="11" borderId="20" xfId="0" quotePrefix="1" applyFill="1" applyBorder="1" applyAlignment="1">
      <alignment wrapText="1"/>
    </xf>
    <xf numFmtId="0" fontId="9" fillId="16" borderId="22" xfId="0" applyFont="1" applyFill="1" applyBorder="1" applyAlignment="1">
      <alignment horizontal="center"/>
    </xf>
    <xf numFmtId="0" fontId="0" fillId="9" borderId="20" xfId="0" applyFill="1" applyBorder="1"/>
    <xf numFmtId="0" fontId="0" fillId="10" borderId="20" xfId="0" quotePrefix="1" applyFill="1" applyBorder="1"/>
    <xf numFmtId="0" fontId="0" fillId="7" borderId="20" xfId="0" applyFill="1" applyBorder="1"/>
    <xf numFmtId="0" fontId="0" fillId="8" borderId="20" xfId="0" applyFill="1" applyBorder="1"/>
    <xf numFmtId="0" fontId="0" fillId="6" borderId="20" xfId="0" applyFill="1" applyBorder="1"/>
    <xf numFmtId="0" fontId="0" fillId="0" borderId="20" xfId="0" applyBorder="1"/>
    <xf numFmtId="0" fontId="0" fillId="13" borderId="20" xfId="0" applyFill="1" applyBorder="1"/>
    <xf numFmtId="0" fontId="0" fillId="18" borderId="20" xfId="0" applyFill="1" applyBorder="1"/>
    <xf numFmtId="0" fontId="0" fillId="10" borderId="5" xfId="0" applyFill="1" applyBorder="1" applyAlignment="1">
      <alignment wrapText="1"/>
    </xf>
    <xf numFmtId="0" fontId="0" fillId="18" borderId="5" xfId="0" applyFill="1" applyBorder="1" applyAlignment="1">
      <alignment wrapText="1"/>
    </xf>
    <xf numFmtId="0" fontId="9" fillId="16" borderId="45" xfId="0" applyFont="1" applyFill="1" applyBorder="1" applyAlignment="1">
      <alignment horizontal="center"/>
    </xf>
    <xf numFmtId="0" fontId="37" fillId="19" borderId="45" xfId="0" applyFont="1" applyFill="1" applyBorder="1" applyAlignment="1">
      <alignment vertical="center"/>
    </xf>
    <xf numFmtId="0" fontId="37" fillId="10" borderId="20" xfId="0" applyFont="1" applyFill="1" applyBorder="1" applyAlignment="1">
      <alignment vertical="center"/>
    </xf>
    <xf numFmtId="0" fontId="37" fillId="11" borderId="20" xfId="0" applyFont="1" applyFill="1" applyBorder="1" applyAlignment="1">
      <alignment vertical="center"/>
    </xf>
    <xf numFmtId="0" fontId="37" fillId="20" borderId="20" xfId="0" applyFont="1" applyFill="1" applyBorder="1" applyAlignment="1">
      <alignment vertical="center"/>
    </xf>
    <xf numFmtId="0" fontId="37" fillId="21" borderId="20" xfId="0" applyFont="1" applyFill="1" applyBorder="1" applyAlignment="1">
      <alignment vertical="center"/>
    </xf>
    <xf numFmtId="0" fontId="37" fillId="21" borderId="20" xfId="0" applyFont="1" applyFill="1" applyBorder="1" applyAlignment="1">
      <alignment vertical="center" wrapText="1"/>
    </xf>
    <xf numFmtId="0" fontId="37" fillId="22" borderId="20" xfId="0" applyFont="1" applyFill="1" applyBorder="1" applyAlignment="1">
      <alignment vertical="center"/>
    </xf>
    <xf numFmtId="0" fontId="37" fillId="23" borderId="20" xfId="0" applyFont="1" applyFill="1" applyBorder="1" applyAlignment="1">
      <alignment vertical="center"/>
    </xf>
    <xf numFmtId="0" fontId="37" fillId="23" borderId="20" xfId="0" applyFont="1" applyFill="1" applyBorder="1" applyAlignment="1">
      <alignment vertical="center" wrapText="1"/>
    </xf>
    <xf numFmtId="0" fontId="37" fillId="0" borderId="20" xfId="0" applyFont="1" applyBorder="1" applyAlignment="1">
      <alignment vertical="center"/>
    </xf>
    <xf numFmtId="0" fontId="37" fillId="13" borderId="20" xfId="0" applyFont="1" applyFill="1" applyBorder="1" applyAlignment="1">
      <alignment vertical="center" wrapText="1"/>
    </xf>
    <xf numFmtId="0" fontId="37" fillId="24" borderId="20" xfId="0" applyFont="1" applyFill="1" applyBorder="1" applyAlignment="1">
      <alignment vertical="center"/>
    </xf>
    <xf numFmtId="0" fontId="10" fillId="0" borderId="0" xfId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37" fillId="19" borderId="46" xfId="0" applyFont="1" applyFill="1" applyBorder="1" applyAlignment="1">
      <alignment vertical="center"/>
    </xf>
    <xf numFmtId="0" fontId="37" fillId="10" borderId="20" xfId="0" quotePrefix="1" applyFont="1" applyFill="1" applyBorder="1" applyAlignment="1">
      <alignment vertical="center"/>
    </xf>
    <xf numFmtId="49" fontId="0" fillId="0" borderId="0" xfId="0" applyNumberFormat="1"/>
    <xf numFmtId="0" fontId="38" fillId="16" borderId="0" xfId="0" applyFont="1" applyFill="1"/>
    <xf numFmtId="49" fontId="38" fillId="0" borderId="0" xfId="0" applyNumberFormat="1" applyFont="1"/>
    <xf numFmtId="49" fontId="11" fillId="0" borderId="0" xfId="0" applyNumberFormat="1" applyFont="1"/>
    <xf numFmtId="49" fontId="16" fillId="0" borderId="11" xfId="0" applyNumberFormat="1" applyFont="1" applyBorder="1" applyAlignment="1" applyProtection="1">
      <alignment horizontal="center" vertical="center" shrinkToFit="1"/>
      <protection locked="0"/>
    </xf>
    <xf numFmtId="49" fontId="16" fillId="0" borderId="13" xfId="0" applyNumberFormat="1" applyFont="1" applyBorder="1" applyAlignment="1" applyProtection="1">
      <alignment horizontal="center" vertical="center" shrinkToFit="1"/>
      <protection locked="0"/>
    </xf>
    <xf numFmtId="49" fontId="39" fillId="16" borderId="0" xfId="0" applyNumberFormat="1" applyFont="1" applyFill="1" applyAlignment="1">
      <alignment horizontal="center"/>
    </xf>
    <xf numFmtId="164" fontId="13" fillId="4" borderId="0" xfId="0" applyNumberFormat="1" applyFont="1" applyFill="1" applyAlignment="1">
      <alignment wrapText="1"/>
    </xf>
    <xf numFmtId="49" fontId="20" fillId="26" borderId="1" xfId="0" applyNumberFormat="1" applyFont="1" applyFill="1" applyBorder="1"/>
    <xf numFmtId="164" fontId="13" fillId="4" borderId="0" xfId="0" applyNumberFormat="1" applyFont="1" applyFill="1" applyAlignment="1">
      <alignment vertical="center" wrapText="1"/>
    </xf>
    <xf numFmtId="49" fontId="13" fillId="4" borderId="0" xfId="0" applyNumberFormat="1" applyFont="1" applyFill="1" applyAlignment="1">
      <alignment vertical="center" wrapText="1"/>
    </xf>
    <xf numFmtId="0" fontId="29" fillId="2" borderId="26" xfId="0" applyFont="1" applyFill="1" applyBorder="1" applyAlignment="1">
      <alignment horizontal="center" vertical="center" shrinkToFit="1" readingOrder="1"/>
    </xf>
    <xf numFmtId="0" fontId="23" fillId="6" borderId="49" xfId="0" applyFont="1" applyFill="1" applyBorder="1" applyAlignment="1">
      <alignment horizontal="center" vertical="center" wrapText="1" readingOrder="1"/>
    </xf>
    <xf numFmtId="22" fontId="16" fillId="4" borderId="0" xfId="0" applyNumberFormat="1" applyFont="1" applyFill="1"/>
    <xf numFmtId="0" fontId="40" fillId="16" borderId="45" xfId="0" applyFont="1" applyFill="1" applyBorder="1" applyAlignment="1">
      <alignment horizontal="center" wrapText="1"/>
    </xf>
    <xf numFmtId="0" fontId="40" fillId="16" borderId="45" xfId="0" applyFont="1" applyFill="1" applyBorder="1" applyAlignment="1">
      <alignment horizontal="center"/>
    </xf>
    <xf numFmtId="49" fontId="40" fillId="16" borderId="45" xfId="0" applyNumberFormat="1" applyFont="1" applyFill="1" applyBorder="1" applyAlignment="1">
      <alignment horizontal="center" wrapText="1"/>
    </xf>
    <xf numFmtId="49" fontId="40" fillId="16" borderId="0" xfId="0" applyNumberFormat="1" applyFont="1" applyFill="1"/>
    <xf numFmtId="49" fontId="12" fillId="16" borderId="0" xfId="0" applyNumberFormat="1" applyFont="1" applyFill="1"/>
    <xf numFmtId="49" fontId="12" fillId="0" borderId="0" xfId="0" applyNumberFormat="1" applyFont="1"/>
    <xf numFmtId="49" fontId="9" fillId="16" borderId="45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13" fillId="4" borderId="35" xfId="0" applyFont="1" applyFill="1" applyBorder="1"/>
    <xf numFmtId="0" fontId="16" fillId="4" borderId="3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6" fillId="15" borderId="34" xfId="0" quotePrefix="1" applyFont="1" applyFill="1" applyBorder="1"/>
    <xf numFmtId="0" fontId="16" fillId="4" borderId="1" xfId="0" applyFont="1" applyFill="1" applyBorder="1" applyAlignment="1">
      <alignment vertical="center" wrapText="1"/>
    </xf>
    <xf numFmtId="0" fontId="40" fillId="16" borderId="0" xfId="0" applyFont="1" applyFill="1" applyAlignment="1">
      <alignment horizontal="center" wrapText="1"/>
    </xf>
    <xf numFmtId="0" fontId="0" fillId="4" borderId="60" xfId="0" applyFill="1" applyBorder="1" applyAlignment="1">
      <alignment wrapText="1"/>
    </xf>
    <xf numFmtId="0" fontId="0" fillId="4" borderId="61" xfId="0" applyFill="1" applyBorder="1" applyAlignment="1">
      <alignment wrapText="1"/>
    </xf>
    <xf numFmtId="0" fontId="0" fillId="4" borderId="62" xfId="0" applyFill="1" applyBorder="1" applyAlignment="1">
      <alignment wrapText="1"/>
    </xf>
    <xf numFmtId="0" fontId="0" fillId="4" borderId="63" xfId="0" applyFill="1" applyBorder="1" applyAlignment="1">
      <alignment wrapText="1"/>
    </xf>
    <xf numFmtId="0" fontId="37" fillId="25" borderId="60" xfId="0" applyFont="1" applyFill="1" applyBorder="1" applyAlignment="1">
      <alignment vertical="center"/>
    </xf>
    <xf numFmtId="0" fontId="0" fillId="4" borderId="60" xfId="0" applyFill="1" applyBorder="1"/>
    <xf numFmtId="0" fontId="8" fillId="16" borderId="1" xfId="0" applyFont="1" applyFill="1" applyBorder="1"/>
    <xf numFmtId="0" fontId="0" fillId="18" borderId="1" xfId="0" applyFill="1" applyBorder="1" applyAlignment="1">
      <alignment wrapText="1"/>
    </xf>
    <xf numFmtId="0" fontId="37" fillId="24" borderId="1" xfId="0" applyFont="1" applyFill="1" applyBorder="1" applyAlignment="1">
      <alignment vertical="center"/>
    </xf>
    <xf numFmtId="0" fontId="0" fillId="18" borderId="1" xfId="0" applyFill="1" applyBorder="1"/>
    <xf numFmtId="0" fontId="0" fillId="17" borderId="1" xfId="0" applyFill="1" applyBorder="1" applyAlignment="1">
      <alignment wrapText="1"/>
    </xf>
    <xf numFmtId="0" fontId="0" fillId="0" borderId="61" xfId="0" applyBorder="1"/>
    <xf numFmtId="0" fontId="49" fillId="0" borderId="0" xfId="0" quotePrefix="1" applyFont="1"/>
    <xf numFmtId="0" fontId="10" fillId="0" borderId="0" xfId="1" applyAlignment="1">
      <alignment vertical="center"/>
    </xf>
    <xf numFmtId="0" fontId="49" fillId="0" borderId="0" xfId="0" applyFont="1"/>
    <xf numFmtId="0" fontId="3" fillId="2" borderId="0" xfId="0" applyFont="1" applyFill="1" applyAlignment="1">
      <alignment vertical="center" wrapText="1"/>
    </xf>
    <xf numFmtId="49" fontId="0" fillId="10" borderId="0" xfId="0" applyNumberFormat="1" applyFill="1"/>
    <xf numFmtId="0" fontId="16" fillId="2" borderId="43" xfId="0" applyFont="1" applyFill="1" applyBorder="1" applyAlignment="1" applyProtection="1">
      <alignment horizontal="center" vertical="center" wrapText="1" shrinkToFit="1" readingOrder="1"/>
      <protection locked="0"/>
    </xf>
    <xf numFmtId="0" fontId="0" fillId="2" borderId="21" xfId="0" applyFill="1" applyBorder="1" applyAlignment="1" applyProtection="1">
      <alignment horizontal="center" vertical="center" wrapText="1" shrinkToFit="1" readingOrder="1"/>
      <protection locked="0"/>
    </xf>
    <xf numFmtId="0" fontId="16" fillId="2" borderId="51" xfId="0" applyFont="1" applyFill="1" applyBorder="1" applyAlignment="1" applyProtection="1">
      <alignment horizontal="center" vertical="center" wrapText="1" shrinkToFit="1" readingOrder="1"/>
      <protection locked="0"/>
    </xf>
    <xf numFmtId="0" fontId="0" fillId="2" borderId="29" xfId="0" applyFill="1" applyBorder="1" applyAlignment="1" applyProtection="1">
      <alignment horizontal="center" vertical="center" wrapText="1" shrinkToFit="1" readingOrder="1"/>
      <protection locked="0"/>
    </xf>
    <xf numFmtId="0" fontId="16" fillId="2" borderId="0" xfId="0" applyFont="1" applyFill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26" fillId="0" borderId="52" xfId="0" applyFont="1" applyBorder="1" applyAlignment="1">
      <alignment horizontal="center" vertical="center" wrapText="1" shrinkToFit="1" readingOrder="1"/>
    </xf>
    <xf numFmtId="0" fontId="0" fillId="0" borderId="53" xfId="0" applyBorder="1" applyAlignment="1">
      <alignment horizontal="center" vertical="center" wrapText="1" shrinkToFit="1" readingOrder="1"/>
    </xf>
    <xf numFmtId="0" fontId="29" fillId="2" borderId="27" xfId="0" applyFont="1" applyFill="1" applyBorder="1" applyAlignment="1">
      <alignment horizontal="center" vertical="center" wrapText="1" shrinkToFit="1" readingOrder="1"/>
    </xf>
    <xf numFmtId="0" fontId="0" fillId="0" borderId="28" xfId="0" applyBorder="1" applyAlignment="1">
      <alignment horizontal="center" vertical="center" wrapText="1" shrinkToFit="1" readingOrder="1"/>
    </xf>
    <xf numFmtId="0" fontId="14" fillId="15" borderId="0" xfId="0" applyFont="1" applyFill="1" applyAlignment="1" applyProtection="1">
      <alignment wrapText="1"/>
      <protection locked="0"/>
    </xf>
    <xf numFmtId="0" fontId="11" fillId="15" borderId="0" xfId="0" applyFont="1" applyFill="1" applyAlignment="1" applyProtection="1">
      <alignment wrapText="1"/>
      <protection locked="0"/>
    </xf>
    <xf numFmtId="0" fontId="14" fillId="2" borderId="54" xfId="0" applyFont="1" applyFill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left" vertical="center"/>
      <protection locked="0"/>
    </xf>
    <xf numFmtId="0" fontId="14" fillId="2" borderId="55" xfId="0" applyFont="1" applyFill="1" applyBorder="1" applyAlignment="1" applyProtection="1">
      <alignment horizontal="left" vertical="center"/>
      <protection locked="0"/>
    </xf>
    <xf numFmtId="0" fontId="0" fillId="2" borderId="55" xfId="0" applyFill="1" applyBorder="1" applyAlignment="1" applyProtection="1">
      <alignment horizontal="left" vertical="center"/>
      <protection locked="0"/>
    </xf>
    <xf numFmtId="0" fontId="16" fillId="2" borderId="0" xfId="0" applyFont="1" applyFill="1"/>
    <xf numFmtId="0" fontId="0" fillId="2" borderId="0" xfId="0" applyFill="1"/>
    <xf numFmtId="0" fontId="19" fillId="2" borderId="0" xfId="0" applyFont="1" applyFill="1" applyAlignment="1">
      <alignment horizontal="center"/>
    </xf>
    <xf numFmtId="0" fontId="26" fillId="0" borderId="24" xfId="0" applyFont="1" applyBorder="1" applyAlignment="1">
      <alignment horizontal="center" vertical="center" wrapText="1" shrinkToFit="1" readingOrder="1"/>
    </xf>
    <xf numFmtId="0" fontId="0" fillId="0" borderId="26" xfId="0" applyBorder="1" applyAlignment="1">
      <alignment horizontal="center" vertical="center" wrapText="1" shrinkToFit="1" readingOrder="1"/>
    </xf>
    <xf numFmtId="0" fontId="26" fillId="2" borderId="24" xfId="0" applyFont="1" applyFill="1" applyBorder="1" applyAlignment="1">
      <alignment horizontal="center" vertical="center" wrapText="1" shrinkToFit="1" readingOrder="1"/>
    </xf>
    <xf numFmtId="0" fontId="22" fillId="2" borderId="0" xfId="0" applyFont="1" applyFill="1"/>
    <xf numFmtId="0" fontId="41" fillId="15" borderId="0" xfId="0" applyFont="1" applyFill="1" applyAlignment="1">
      <alignment vertical="center" wrapText="1"/>
    </xf>
    <xf numFmtId="0" fontId="42" fillId="15" borderId="0" xfId="0" applyFont="1" applyFill="1" applyAlignment="1">
      <alignment vertical="center" wrapText="1"/>
    </xf>
    <xf numFmtId="14" fontId="14" fillId="2" borderId="54" xfId="0" applyNumberFormat="1" applyFont="1" applyFill="1" applyBorder="1" applyAlignment="1" applyProtection="1">
      <alignment horizontal="left" vertical="center"/>
      <protection locked="0"/>
    </xf>
    <xf numFmtId="0" fontId="43" fillId="4" borderId="0" xfId="0" applyFont="1" applyFill="1" applyAlignment="1">
      <alignment horizontal="center" wrapText="1"/>
    </xf>
    <xf numFmtId="164" fontId="27" fillId="10" borderId="43" xfId="0" applyNumberFormat="1" applyFont="1" applyFill="1" applyBorder="1" applyAlignment="1" applyProtection="1">
      <alignment horizontal="center" vertical="center" wrapText="1"/>
      <protection locked="0"/>
    </xf>
    <xf numFmtId="0" fontId="44" fillId="10" borderId="21" xfId="0" applyFont="1" applyFill="1" applyBorder="1" applyAlignment="1" applyProtection="1">
      <alignment horizontal="center" vertical="center" wrapText="1"/>
      <protection locked="0"/>
    </xf>
    <xf numFmtId="0" fontId="26" fillId="10" borderId="52" xfId="0" applyFont="1" applyFill="1" applyBorder="1" applyAlignment="1">
      <alignment horizontal="center" vertical="center" wrapText="1" shrinkToFit="1"/>
    </xf>
    <xf numFmtId="0" fontId="45" fillId="10" borderId="53" xfId="0" applyFont="1" applyFill="1" applyBorder="1" applyAlignment="1">
      <alignment horizontal="center" vertical="center" wrapText="1" shrinkToFit="1"/>
    </xf>
    <xf numFmtId="0" fontId="44" fillId="10" borderId="55" xfId="0" applyFont="1" applyFill="1" applyBorder="1" applyAlignment="1" applyProtection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 shrinkToFit="1" readingOrder="1"/>
    </xf>
    <xf numFmtId="0" fontId="0" fillId="0" borderId="57" xfId="0" applyBorder="1" applyAlignment="1">
      <alignment horizontal="center" vertical="center" wrapText="1" shrinkToFit="1" readingOrder="1"/>
    </xf>
    <xf numFmtId="49" fontId="46" fillId="2" borderId="55" xfId="1" applyNumberFormat="1" applyFont="1" applyFill="1" applyBorder="1" applyAlignment="1" applyProtection="1">
      <alignment horizontal="left" vertical="center"/>
      <protection locked="0"/>
    </xf>
    <xf numFmtId="49" fontId="14" fillId="2" borderId="55" xfId="0" applyNumberFormat="1" applyFont="1" applyFill="1" applyBorder="1" applyAlignment="1" applyProtection="1">
      <alignment horizontal="left" vertical="center"/>
      <protection locked="0"/>
    </xf>
    <xf numFmtId="0" fontId="19" fillId="2" borderId="35" xfId="0" applyFont="1" applyFill="1" applyBorder="1" applyAlignment="1">
      <alignment horizontal="left"/>
    </xf>
    <xf numFmtId="0" fontId="43" fillId="2" borderId="31" xfId="0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right" vertical="center" wrapText="1"/>
    </xf>
    <xf numFmtId="164" fontId="27" fillId="10" borderId="51" xfId="0" applyNumberFormat="1" applyFont="1" applyFill="1" applyBorder="1" applyAlignment="1" applyProtection="1">
      <alignment horizontal="center" vertical="center" wrapText="1"/>
      <protection locked="0"/>
    </xf>
    <xf numFmtId="0" fontId="44" fillId="10" borderId="59" xfId="0" applyFont="1" applyFill="1" applyBorder="1" applyAlignment="1" applyProtection="1">
      <alignment horizontal="center" vertical="center" wrapText="1"/>
      <protection locked="0"/>
    </xf>
    <xf numFmtId="0" fontId="47" fillId="15" borderId="0" xfId="0" applyFont="1" applyFill="1" applyAlignment="1" applyProtection="1">
      <alignment vertical="center" wrapText="1"/>
      <protection locked="0"/>
    </xf>
    <xf numFmtId="0" fontId="23" fillId="4" borderId="0" xfId="0" applyFont="1" applyFill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44" fillId="10" borderId="29" xfId="0" applyFont="1" applyFill="1" applyBorder="1" applyAlignment="1" applyProtection="1">
      <alignment horizontal="center" vertical="center" wrapText="1"/>
      <protection locked="0"/>
    </xf>
    <xf numFmtId="165" fontId="14" fillId="2" borderId="58" xfId="0" applyNumberFormat="1" applyFont="1" applyFill="1" applyBorder="1" applyAlignment="1">
      <alignment horizontal="left" vertical="center"/>
    </xf>
    <xf numFmtId="165" fontId="0" fillId="2" borderId="58" xfId="0" applyNumberFormat="1" applyFill="1" applyBorder="1" applyAlignment="1">
      <alignment horizontal="left" vertical="center"/>
    </xf>
    <xf numFmtId="0" fontId="43" fillId="4" borderId="31" xfId="0" applyFont="1" applyFill="1" applyBorder="1" applyAlignment="1">
      <alignment horizontal="center" wrapText="1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Standaard" xfId="0" builtinId="0"/>
  </cellStyles>
  <dxfs count="18"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1133476</xdr:colOff>
      <xdr:row>1</xdr:row>
      <xdr:rowOff>28576</xdr:rowOff>
    </xdr:from>
    <xdr:to>
      <xdr:col>2</xdr:col>
      <xdr:colOff>1590676</xdr:colOff>
      <xdr:row>1</xdr:row>
      <xdr:rowOff>161926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0151" y="180976"/>
          <a:ext cx="457200" cy="133350"/>
        </a:xfrm>
        <a:prstGeom prst="rightArrow">
          <a:avLst/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21</xdr:col>
      <xdr:colOff>2714626</xdr:colOff>
      <xdr:row>3</xdr:row>
      <xdr:rowOff>104775</xdr:rowOff>
    </xdr:from>
    <xdr:to>
      <xdr:col>21</xdr:col>
      <xdr:colOff>3209925</xdr:colOff>
      <xdr:row>3</xdr:row>
      <xdr:rowOff>561974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544551" y="600075"/>
          <a:ext cx="495299" cy="457199"/>
        </a:xfrm>
        <a:prstGeom prst="rightArrow">
          <a:avLst/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14</xdr:col>
      <xdr:colOff>995245</xdr:colOff>
      <xdr:row>3</xdr:row>
      <xdr:rowOff>17318</xdr:rowOff>
    </xdr:from>
    <xdr:to>
      <xdr:col>16</xdr:col>
      <xdr:colOff>12439</xdr:colOff>
      <xdr:row>4</xdr:row>
      <xdr:rowOff>86591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608A85-B256-414C-9CA4-DB7F04E4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8268" y="519545"/>
          <a:ext cx="1840057" cy="736023"/>
        </a:xfrm>
        <a:prstGeom prst="rect">
          <a:avLst/>
        </a:prstGeom>
      </xdr:spPr>
    </xdr:pic>
    <xdr:clientData/>
  </xdr:twoCellAnchor>
  <xdr:twoCellAnchor editAs="oneCell">
    <xdr:from>
      <xdr:col>14</xdr:col>
      <xdr:colOff>983121</xdr:colOff>
      <xdr:row>39</xdr:row>
      <xdr:rowOff>5203</xdr:rowOff>
    </xdr:from>
    <xdr:to>
      <xdr:col>16</xdr:col>
      <xdr:colOff>315</xdr:colOff>
      <xdr:row>40</xdr:row>
      <xdr:rowOff>109113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BC39C9A-AE4A-4862-9DB2-DEE1600B0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6144" y="7884976"/>
          <a:ext cx="1840057" cy="73602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e table" connectionId="1" xr16:uid="{00000000-0016-0000-04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es table3" connectionId="2" xr16:uid="{00000000-0016-0000-04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upportcentral.1utcfs.com/securedupload/41057/doc_3239500.xlt" TargetMode="External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supportcentral.1utcfs.com/products/sup_products.asp?prod_id=34792" TargetMode="External"/><Relationship Id="rId4" Type="http://schemas.openxmlformats.org/officeDocument/2006/relationships/hyperlink" Target="https://supportcentral.1utcfs.com/ProcessMaps/form_new_request.asp?prod_id=63428&amp;form_id=261917&amp;node_id=546733&amp;map_id=&amp;reference_id=&amp;reference_typ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ustomer.servicessa@carrier.com" TargetMode="External"/><Relationship Id="rId13" Type="http://schemas.openxmlformats.org/officeDocument/2006/relationships/hyperlink" Target="mailto:asiakaspalvelu.fs@carrier.com" TargetMode="External"/><Relationship Id="rId3" Type="http://schemas.openxmlformats.org/officeDocument/2006/relationships/hyperlink" Target="mailto:ordini.fs@carrier.com" TargetMode="External"/><Relationship Id="rId7" Type="http://schemas.openxmlformats.org/officeDocument/2006/relationships/hyperlink" Target="mailto:sweden@carrier.com" TargetMode="External"/><Relationship Id="rId12" Type="http://schemas.openxmlformats.org/officeDocument/2006/relationships/hyperlink" Target="mailto:cs.poland@carrier.com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mailto:sales.belgium@carrier.com" TargetMode="External"/><Relationship Id="rId16" Type="http://schemas.openxmlformats.org/officeDocument/2006/relationships/hyperlink" Target="mailto:orders.france@carrier.com" TargetMode="External"/><Relationship Id="rId1" Type="http://schemas.openxmlformats.org/officeDocument/2006/relationships/hyperlink" Target="mailto:customerservice.dach@carrier.com" TargetMode="External"/><Relationship Id="rId6" Type="http://schemas.openxmlformats.org/officeDocument/2006/relationships/hyperlink" Target="mailto:bestilling.norway@carrier.com" TargetMode="External"/><Relationship Id="rId11" Type="http://schemas.openxmlformats.org/officeDocument/2006/relationships/hyperlink" Target="mailto:cs.edc@carrier.com" TargetMode="External"/><Relationship Id="rId5" Type="http://schemas.openxmlformats.org/officeDocument/2006/relationships/hyperlink" Target="mailto:denmark@carrier.com" TargetMode="External"/><Relationship Id="rId15" Type="http://schemas.openxmlformats.org/officeDocument/2006/relationships/hyperlink" Target="mailto:orders.ie@carrier.com" TargetMode="External"/><Relationship Id="rId10" Type="http://schemas.openxmlformats.org/officeDocument/2006/relationships/hyperlink" Target="mailto:sales.spain@carrier.com" TargetMode="External"/><Relationship Id="rId4" Type="http://schemas.openxmlformats.org/officeDocument/2006/relationships/hyperlink" Target="mailto:sales.portugal@carrier.com" TargetMode="External"/><Relationship Id="rId9" Type="http://schemas.openxmlformats.org/officeDocument/2006/relationships/hyperlink" Target="mailto:orders.nl@carrier.com" TargetMode="External"/><Relationship Id="rId14" Type="http://schemas.openxmlformats.org/officeDocument/2006/relationships/hyperlink" Target="mailto:orders.uk@carrier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6"/>
  <sheetViews>
    <sheetView tabSelected="1" zoomScaleNormal="100" workbookViewId="0">
      <selection activeCell="P27" sqref="P27"/>
    </sheetView>
  </sheetViews>
  <sheetFormatPr defaultColWidth="9" defaultRowHeight="12" zeroHeight="1" outlineLevelCol="1" x14ac:dyDescent="0.2"/>
  <cols>
    <col min="1" max="1" width="0.875" style="16" customWidth="1"/>
    <col min="2" max="2" width="2.25" style="16" hidden="1" customWidth="1"/>
    <col min="3" max="3" width="22.625" style="17" customWidth="1"/>
    <col min="4" max="4" width="7.125" style="17" customWidth="1"/>
    <col min="5" max="5" width="12" style="17" customWidth="1"/>
    <col min="6" max="6" width="10" style="19" customWidth="1"/>
    <col min="7" max="7" width="21.875" style="19" customWidth="1"/>
    <col min="8" max="9" width="12.25" style="19" hidden="1" customWidth="1"/>
    <col min="10" max="10" width="8.125" style="19" customWidth="1"/>
    <col min="11" max="11" width="4.5" style="19" hidden="1" customWidth="1"/>
    <col min="12" max="12" width="8.125" style="19" customWidth="1"/>
    <col min="13" max="13" width="7.5" style="19" hidden="1" customWidth="1"/>
    <col min="14" max="14" width="3.625" style="19" customWidth="1"/>
    <col min="15" max="15" width="25.875" style="19" customWidth="1"/>
    <col min="16" max="16" width="11.125" style="19" customWidth="1"/>
    <col min="17" max="17" width="4.625" style="19" customWidth="1"/>
    <col min="18" max="18" width="6.375" style="17" hidden="1" customWidth="1"/>
    <col min="19" max="19" width="6" style="17" hidden="1" customWidth="1"/>
    <col min="20" max="20" width="31.125" style="17" hidden="1" customWidth="1"/>
    <col min="21" max="21" width="8.75" style="17" hidden="1" customWidth="1" outlineLevel="1"/>
    <col min="22" max="22" width="42.75" style="17" hidden="1" customWidth="1" outlineLevel="1"/>
    <col min="23" max="23" width="24.625" style="17" hidden="1" customWidth="1" outlineLevel="1"/>
    <col min="24" max="24" width="10.75" style="17" hidden="1" customWidth="1" outlineLevel="1"/>
    <col min="25" max="25" width="19.375" style="17" hidden="1" customWidth="1" outlineLevel="1"/>
    <col min="26" max="26" width="20.875" style="17" hidden="1" customWidth="1" outlineLevel="1"/>
    <col min="27" max="27" width="28.5" style="17" hidden="1" customWidth="1" outlineLevel="1"/>
    <col min="28" max="28" width="5.875" style="16" customWidth="1" collapsed="1"/>
    <col min="29" max="16384" width="9" style="16"/>
  </cols>
  <sheetData>
    <row r="1" spans="1:27" x14ac:dyDescent="0.2"/>
    <row r="2" spans="1:27" ht="15" x14ac:dyDescent="0.25">
      <c r="C2" s="66" t="s">
        <v>118</v>
      </c>
      <c r="D2" s="268" t="s">
        <v>121</v>
      </c>
      <c r="E2" s="269"/>
      <c r="G2" s="150" t="s">
        <v>264</v>
      </c>
      <c r="J2" s="281" t="str">
        <f>W4</f>
        <v>Sales NL</v>
      </c>
      <c r="K2" s="282"/>
      <c r="L2" s="282"/>
      <c r="M2" s="282"/>
      <c r="N2" s="282"/>
      <c r="O2" s="282"/>
      <c r="P2" s="282"/>
    </row>
    <row r="3" spans="1:27" x14ac:dyDescent="0.2"/>
    <row r="4" spans="1:27" s="107" customFormat="1" ht="52.5" customHeight="1" x14ac:dyDescent="0.2">
      <c r="A4" s="1"/>
      <c r="B4" s="1"/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V4" s="153" t="s">
        <v>263</v>
      </c>
      <c r="W4" s="299" t="s">
        <v>1056</v>
      </c>
      <c r="X4" s="299"/>
      <c r="Y4" s="299"/>
      <c r="Z4" s="299"/>
    </row>
    <row r="5" spans="1:27" s="107" customFormat="1" ht="24" thickBot="1" x14ac:dyDescent="0.4">
      <c r="A5" s="1"/>
      <c r="B5" s="1"/>
      <c r="C5" s="276" t="str">
        <f>HLOOKUP(D2,MultiLanguage!B:S,2,FALSE)</f>
        <v>Product retour formulier</v>
      </c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9"/>
    </row>
    <row r="6" spans="1:27" s="107" customFormat="1" ht="5.25" customHeight="1" x14ac:dyDescent="0.2">
      <c r="A6" s="1"/>
      <c r="B6" s="1"/>
      <c r="C6" s="1"/>
      <c r="D6" s="1"/>
      <c r="E6" s="1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V6" s="108"/>
      <c r="W6" s="109"/>
      <c r="X6" s="109"/>
      <c r="Y6" s="109"/>
      <c r="Z6" s="109"/>
      <c r="AA6" s="110"/>
    </row>
    <row r="7" spans="1:27" s="107" customFormat="1" ht="12.75" customHeight="1" x14ac:dyDescent="0.2">
      <c r="A7" s="1"/>
      <c r="B7" s="1"/>
      <c r="C7" s="9" t="str">
        <f>HLOOKUP(D2,MultiLanguage!B:S,35,FALSE)</f>
        <v>Geadresseerde</v>
      </c>
      <c r="D7" s="274" t="str">
        <f>VLOOKUP($W$4,CSTeam!A:J,2,FALSE)</f>
        <v>Carrier Fire &amp; Security B.V.</v>
      </c>
      <c r="E7" s="275"/>
      <c r="F7" s="275"/>
      <c r="G7" s="275"/>
      <c r="H7" s="275"/>
      <c r="I7" s="275"/>
      <c r="J7" s="10"/>
      <c r="K7" s="8"/>
      <c r="L7" s="8"/>
      <c r="M7" s="8"/>
      <c r="N7" s="8"/>
      <c r="O7" s="8"/>
      <c r="P7" s="8"/>
      <c r="Q7" s="8"/>
      <c r="V7" s="112" t="s">
        <v>110</v>
      </c>
      <c r="W7" s="128" t="s">
        <v>109</v>
      </c>
      <c r="X7" s="113"/>
      <c r="Y7" s="113"/>
      <c r="Z7" s="114"/>
      <c r="AA7" s="115"/>
    </row>
    <row r="8" spans="1:27" s="107" customFormat="1" ht="12.75" customHeight="1" x14ac:dyDescent="0.2">
      <c r="A8" s="1"/>
      <c r="B8" s="1"/>
      <c r="C8" s="9"/>
      <c r="D8" s="274" t="str">
        <f>VLOOKUP($W$4,CSTeam!A:J,3,FALSE)</f>
        <v>EORI: NL80175744</v>
      </c>
      <c r="E8" s="275"/>
      <c r="F8" s="275"/>
      <c r="G8" s="275"/>
      <c r="H8" s="275"/>
      <c r="I8" s="275"/>
      <c r="J8" s="10"/>
      <c r="K8" s="8"/>
      <c r="L8" s="8"/>
      <c r="M8" s="8"/>
      <c r="N8" s="8"/>
      <c r="O8" s="8"/>
      <c r="P8" s="8"/>
      <c r="Q8" s="8"/>
      <c r="V8" s="116"/>
      <c r="W8" s="129"/>
      <c r="X8" s="114"/>
      <c r="Y8" s="114"/>
      <c r="Z8" s="114"/>
      <c r="AA8" s="115"/>
    </row>
    <row r="9" spans="1:27" s="107" customFormat="1" ht="12.75" customHeight="1" x14ac:dyDescent="0.2">
      <c r="A9" s="1"/>
      <c r="B9" s="1"/>
      <c r="C9" s="9" t="str">
        <f>HLOOKUP(D2,MultiLanguage!B:S,36,FALSE)</f>
        <v>Adres:</v>
      </c>
      <c r="D9" s="274" t="str">
        <f>VLOOKUP($W$4,CSTeam!A:J,4,FALSE)</f>
        <v>Zal vermeld worden op het RMA shipping formulier</v>
      </c>
      <c r="E9" s="275"/>
      <c r="F9" s="275"/>
      <c r="G9" s="275"/>
      <c r="H9" s="275"/>
      <c r="I9" s="275"/>
      <c r="J9" s="262"/>
      <c r="K9" s="262"/>
      <c r="L9" s="262"/>
      <c r="M9" s="262"/>
      <c r="N9" s="262"/>
      <c r="O9" s="262"/>
      <c r="P9" s="8"/>
      <c r="Q9" s="8"/>
      <c r="V9" s="112" t="s">
        <v>108</v>
      </c>
      <c r="W9" s="128" t="s">
        <v>109</v>
      </c>
      <c r="X9" s="113"/>
      <c r="Y9" s="113"/>
      <c r="Z9" s="114"/>
      <c r="AA9" s="115"/>
    </row>
    <row r="10" spans="1:27" s="107" customFormat="1" ht="12.75" customHeight="1" x14ac:dyDescent="0.2">
      <c r="A10" s="1"/>
      <c r="B10" s="1"/>
      <c r="C10" s="9" t="str">
        <f>HLOOKUP(D2,MultiLanguage!B:S,37,FALSE)</f>
        <v>Contact:</v>
      </c>
      <c r="D10" s="280" t="str">
        <f>VLOOKUP($W$4,CSTeam!A:J,5,FALSE)</f>
        <v>cs.nederland@carrier.com</v>
      </c>
      <c r="E10" s="275"/>
      <c r="F10" s="275"/>
      <c r="G10" s="275"/>
      <c r="H10" s="275"/>
      <c r="I10" s="1"/>
      <c r="J10" s="261"/>
      <c r="K10" s="275"/>
      <c r="L10" s="275"/>
      <c r="M10" s="275"/>
      <c r="N10" s="275"/>
      <c r="O10" s="275"/>
      <c r="P10" s="8"/>
      <c r="Q10" s="8"/>
      <c r="V10" s="116"/>
      <c r="W10" s="129"/>
      <c r="X10" s="114"/>
      <c r="Y10" s="114"/>
      <c r="Z10" s="114"/>
      <c r="AA10" s="115"/>
    </row>
    <row r="11" spans="1:27" s="107" customFormat="1" ht="12.75" customHeight="1" x14ac:dyDescent="0.2">
      <c r="A11" s="1"/>
      <c r="B11" s="1"/>
      <c r="C11" s="14"/>
      <c r="D11" s="280" t="str">
        <f>VLOOKUP($W$4,CSTeam!A:J,7,FALSE)</f>
        <v/>
      </c>
      <c r="E11" s="275"/>
      <c r="F11" s="275"/>
      <c r="G11" s="275"/>
      <c r="H11" s="275"/>
      <c r="I11" s="1"/>
      <c r="J11" s="261" t="str">
        <f>VLOOKUP($W$4,CSTeam!A:J,8,FALSE)</f>
        <v/>
      </c>
      <c r="K11" s="275"/>
      <c r="L11" s="275"/>
      <c r="M11" s="275"/>
      <c r="N11" s="275"/>
      <c r="O11" s="275"/>
      <c r="P11" s="8"/>
      <c r="Q11" s="8"/>
      <c r="V11" s="112" t="s">
        <v>112</v>
      </c>
      <c r="W11" s="128" t="s">
        <v>109</v>
      </c>
      <c r="X11" s="113"/>
      <c r="Y11" s="113"/>
      <c r="Z11" s="114"/>
      <c r="AA11" s="115"/>
    </row>
    <row r="12" spans="1:27" s="107" customFormat="1" ht="12.75" customHeight="1" thickBot="1" x14ac:dyDescent="0.25">
      <c r="A12" s="1"/>
      <c r="B12" s="1"/>
      <c r="C12" s="14"/>
      <c r="D12" s="280" t="str">
        <f>VLOOKUP($W$4,CSTeam!A:J,9,FALSE)</f>
        <v/>
      </c>
      <c r="E12" s="275"/>
      <c r="F12" s="275"/>
      <c r="G12" s="275"/>
      <c r="H12" s="275"/>
      <c r="I12" s="1"/>
      <c r="J12" s="261" t="str">
        <f>VLOOKUP($W$4,CSTeam!A:J,10,FALSE)</f>
        <v/>
      </c>
      <c r="K12" s="275"/>
      <c r="L12" s="275"/>
      <c r="M12" s="275"/>
      <c r="N12" s="275"/>
      <c r="O12" s="275"/>
      <c r="P12" s="8"/>
      <c r="Q12" s="8"/>
      <c r="V12" s="117"/>
      <c r="W12" s="118"/>
      <c r="X12" s="118"/>
      <c r="Y12" s="118"/>
      <c r="Z12" s="118"/>
      <c r="AA12" s="119"/>
    </row>
    <row r="13" spans="1:27" s="107" customFormat="1" ht="4.5" customHeight="1" thickBot="1" x14ac:dyDescent="0.25">
      <c r="A13" s="1"/>
      <c r="B13" s="1"/>
      <c r="C13" s="14"/>
      <c r="D13" s="10"/>
      <c r="E13" s="1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7" s="107" customFormat="1" ht="12.75" customHeight="1" x14ac:dyDescent="0.2">
      <c r="A14" s="1"/>
      <c r="B14" s="1"/>
      <c r="C14" s="11" t="str">
        <f>HLOOKUP(D2,MultiLanguage!B:S,45,FALSE)</f>
        <v>*** VUL A.U.B. DE VOLGENDE SECTIE GEHEEL IN, ALLE VELDEN ZIJN VERPLICHT ***</v>
      </c>
      <c r="D14" s="10"/>
      <c r="E14" s="1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V14" s="120" t="s">
        <v>113</v>
      </c>
      <c r="W14" s="121"/>
      <c r="X14" s="121"/>
      <c r="Y14" s="121"/>
      <c r="Z14" s="121"/>
      <c r="AA14" s="122"/>
    </row>
    <row r="15" spans="1:27" s="107" customFormat="1" ht="12.75" customHeight="1" x14ac:dyDescent="0.2">
      <c r="A15" s="1"/>
      <c r="B15" s="1"/>
      <c r="C15" s="14" t="str">
        <f>HLOOKUP(D2,MultiLanguage!B:S,46,FALSE)</f>
        <v>Bedrijfsnaam:</v>
      </c>
      <c r="D15" s="270"/>
      <c r="E15" s="271"/>
      <c r="F15" s="271"/>
      <c r="G15" s="271"/>
      <c r="H15" s="8"/>
      <c r="I15" s="8"/>
      <c r="J15" s="8"/>
      <c r="K15" s="8"/>
      <c r="L15" s="8"/>
      <c r="M15" s="8"/>
      <c r="N15" s="8"/>
      <c r="O15" s="8"/>
      <c r="P15" s="30"/>
      <c r="Q15" s="30"/>
      <c r="V15" s="123" t="s">
        <v>690</v>
      </c>
      <c r="W15" s="124"/>
      <c r="X15" s="124"/>
      <c r="Y15" s="124"/>
      <c r="Z15" s="124"/>
      <c r="AA15" s="125"/>
    </row>
    <row r="16" spans="1:27" s="107" customFormat="1" ht="12.75" customHeight="1" x14ac:dyDescent="0.2">
      <c r="A16" s="1"/>
      <c r="B16" s="1"/>
      <c r="C16" s="14" t="str">
        <f>HLOOKUP(D2,MultiLanguage!B:S,47,FALSE)</f>
        <v>Carrier klantnummer:</v>
      </c>
      <c r="D16" s="272"/>
      <c r="E16" s="273"/>
      <c r="F16" s="273"/>
      <c r="G16" s="273"/>
      <c r="H16" s="8"/>
      <c r="I16" s="8"/>
      <c r="J16" s="8"/>
      <c r="K16" s="1"/>
      <c r="L16" s="1"/>
      <c r="M16" s="1"/>
      <c r="N16" s="1"/>
      <c r="O16" s="1"/>
      <c r="P16" s="8"/>
      <c r="Q16" s="8"/>
      <c r="V16" s="123" t="s">
        <v>691</v>
      </c>
      <c r="W16" s="124"/>
      <c r="X16" s="124"/>
      <c r="Y16" s="124"/>
      <c r="Z16" s="124"/>
      <c r="AA16" s="125"/>
    </row>
    <row r="17" spans="1:27" s="107" customFormat="1" ht="12.75" customHeight="1" x14ac:dyDescent="0.2">
      <c r="A17" s="1"/>
      <c r="B17" s="1"/>
      <c r="C17" s="14" t="str">
        <f>HLOOKUP(D2,MultiLanguage!B:S,48,FALSE)</f>
        <v>Bedrijfsadres</v>
      </c>
      <c r="D17" s="272"/>
      <c r="E17" s="273"/>
      <c r="F17" s="273"/>
      <c r="G17" s="273"/>
      <c r="H17" s="8"/>
      <c r="I17" s="8"/>
      <c r="J17" s="261" t="str">
        <f>HLOOKUP(D2,MultiLanguage!B:S,54,FALSE)</f>
        <v>Verzend adres:</v>
      </c>
      <c r="K17" s="262"/>
      <c r="L17" s="262"/>
      <c r="M17" s="262"/>
      <c r="N17" s="262"/>
      <c r="O17" s="270"/>
      <c r="P17" s="270"/>
      <c r="Q17" s="22"/>
      <c r="S17" s="219"/>
      <c r="V17" s="123" t="s">
        <v>689</v>
      </c>
      <c r="W17" s="124"/>
      <c r="X17" s="124"/>
      <c r="Y17" s="124"/>
      <c r="Z17" s="124"/>
      <c r="AA17" s="125"/>
    </row>
    <row r="18" spans="1:27" s="107" customFormat="1" ht="12.75" customHeight="1" x14ac:dyDescent="0.2">
      <c r="A18" s="1"/>
      <c r="B18" s="1"/>
      <c r="C18" s="14" t="str">
        <f>HLOOKUP(D2,MultiLanguage!B:S,49,FALSE)</f>
        <v>Postcode / Plaats:</v>
      </c>
      <c r="D18" s="272"/>
      <c r="E18" s="273"/>
      <c r="F18" s="273"/>
      <c r="G18" s="273"/>
      <c r="H18" s="8"/>
      <c r="I18" s="8"/>
      <c r="J18" s="261" t="str">
        <f>HLOOKUP(D2,MultiLanguage!B:S,55,FALSE)</f>
        <v>Postcode / Plaats:</v>
      </c>
      <c r="K18" s="262"/>
      <c r="L18" s="262"/>
      <c r="M18" s="262"/>
      <c r="N18" s="262"/>
      <c r="O18" s="272"/>
      <c r="P18" s="272"/>
      <c r="Q18" s="22"/>
      <c r="V18" s="123" t="s">
        <v>688</v>
      </c>
      <c r="W18" s="124"/>
      <c r="X18" s="124"/>
      <c r="Y18" s="124"/>
      <c r="Z18" s="124"/>
      <c r="AA18" s="125"/>
    </row>
    <row r="19" spans="1:27" s="107" customFormat="1" ht="12.75" customHeight="1" thickBot="1" x14ac:dyDescent="0.25">
      <c r="A19" s="1"/>
      <c r="B19" s="1"/>
      <c r="C19" s="14" t="str">
        <f>HLOOKUP(D2,MultiLanguage!B:S,50,FALSE)</f>
        <v>Land:</v>
      </c>
      <c r="D19" s="272"/>
      <c r="E19" s="273"/>
      <c r="F19" s="273"/>
      <c r="G19" s="273"/>
      <c r="H19" s="8"/>
      <c r="I19" s="8"/>
      <c r="J19" s="261" t="str">
        <f>HLOOKUP(D2,MultiLanguage!B:S,56,FALSE)</f>
        <v>Land:</v>
      </c>
      <c r="K19" s="262"/>
      <c r="L19" s="262"/>
      <c r="M19" s="262"/>
      <c r="N19" s="262"/>
      <c r="O19" s="272"/>
      <c r="P19" s="272"/>
      <c r="Q19" s="22"/>
      <c r="V19" s="237" t="s">
        <v>687</v>
      </c>
      <c r="W19" s="126"/>
      <c r="X19" s="126"/>
      <c r="Y19" s="126"/>
      <c r="Z19" s="126"/>
      <c r="AA19" s="127"/>
    </row>
    <row r="20" spans="1:27" s="107" customFormat="1" ht="6" customHeight="1" x14ac:dyDescent="0.2">
      <c r="A20" s="1"/>
      <c r="B20" s="1"/>
      <c r="C20" s="1"/>
      <c r="D20" s="48"/>
      <c r="E20" s="48"/>
      <c r="F20" s="49"/>
      <c r="G20" s="49"/>
      <c r="H20" s="49"/>
      <c r="I20" s="8"/>
      <c r="J20" s="57"/>
      <c r="K20" s="8"/>
      <c r="L20" s="8"/>
      <c r="M20" s="8"/>
      <c r="N20" s="8"/>
      <c r="O20" s="49"/>
      <c r="P20" s="49"/>
      <c r="Q20" s="22"/>
    </row>
    <row r="21" spans="1:27" s="107" customFormat="1" ht="12.75" customHeight="1" x14ac:dyDescent="0.2">
      <c r="A21" s="1"/>
      <c r="B21" s="1"/>
      <c r="C21" s="57" t="str">
        <f>HLOOKUP(D2,MultiLanguage!B:S,51,FALSE)</f>
        <v>Uw referentie nummer:</v>
      </c>
      <c r="D21" s="270"/>
      <c r="E21" s="270"/>
      <c r="F21" s="270"/>
      <c r="G21" s="63"/>
      <c r="H21" s="49"/>
      <c r="I21" s="57"/>
      <c r="J21" s="261" t="str">
        <f>HLOOKUP(D2,MultiLanguage!B:S,57,FALSE)</f>
        <v>Contact persoon:</v>
      </c>
      <c r="K21" s="263"/>
      <c r="L21" s="263"/>
      <c r="M21" s="263"/>
      <c r="N21" s="263"/>
      <c r="O21" s="283"/>
      <c r="P21" s="270"/>
      <c r="Q21" s="22"/>
    </row>
    <row r="22" spans="1:27" s="107" customFormat="1" ht="12.75" customHeight="1" x14ac:dyDescent="0.2">
      <c r="A22" s="1"/>
      <c r="B22" s="1"/>
      <c r="C22" s="14" t="str">
        <f>HLOOKUP(D2,MultiLanguage!B:S,52,FALSE)</f>
        <v>Tel:</v>
      </c>
      <c r="D22" s="293"/>
      <c r="E22" s="293"/>
      <c r="F22" s="293"/>
      <c r="G22" s="64"/>
      <c r="H22" s="49"/>
      <c r="I22" s="57"/>
      <c r="J22" s="261" t="str">
        <f>HLOOKUP(D2,MultiLanguage!B:S,58,FALSE)</f>
        <v>Tel &amp; E-Mail:</v>
      </c>
      <c r="K22" s="263"/>
      <c r="L22" s="263"/>
      <c r="M22" s="263"/>
      <c r="N22" s="263"/>
      <c r="O22" s="293"/>
      <c r="P22" s="293"/>
      <c r="Q22" s="31"/>
    </row>
    <row r="23" spans="1:27" s="107" customFormat="1" ht="12.75" customHeight="1" x14ac:dyDescent="0.2">
      <c r="A23" s="1"/>
      <c r="B23" s="1"/>
      <c r="C23" s="14" t="str">
        <f>HLOOKUP(D2,MultiLanguage!B:S,53,FALSE)</f>
        <v>E-mail:</v>
      </c>
      <c r="D23" s="292"/>
      <c r="E23" s="293"/>
      <c r="F23" s="293"/>
      <c r="G23" s="64"/>
      <c r="H23" s="22"/>
      <c r="I23" s="57"/>
      <c r="J23" s="261" t="str">
        <f>HLOOKUP(D2,MultiLanguage!B:S,59,FALSE)</f>
        <v>Aanvraag datum:</v>
      </c>
      <c r="K23" s="263"/>
      <c r="L23" s="263"/>
      <c r="M23" s="263"/>
      <c r="N23" s="263"/>
      <c r="O23" s="305">
        <f ca="1">NOW()</f>
        <v>45734.382483796297</v>
      </c>
      <c r="P23" s="306"/>
      <c r="Q23" s="32"/>
    </row>
    <row r="24" spans="1:27" s="107" customFormat="1" ht="4.5" customHeight="1" thickBot="1" x14ac:dyDescent="0.25">
      <c r="A24" s="1"/>
      <c r="B24" s="1"/>
      <c r="C24" s="20"/>
      <c r="D24" s="1"/>
      <c r="E24" s="1"/>
      <c r="F24" s="1"/>
      <c r="G24" s="1"/>
      <c r="H24" s="1"/>
      <c r="I24" s="1"/>
      <c r="J24" s="1"/>
      <c r="K24" s="15"/>
      <c r="L24" s="15"/>
      <c r="M24" s="15"/>
      <c r="N24" s="15"/>
      <c r="O24" s="15"/>
      <c r="P24" s="15"/>
      <c r="Q24" s="15"/>
      <c r="R24" s="111"/>
      <c r="S24" s="111"/>
      <c r="T24" s="111"/>
      <c r="U24" s="232"/>
      <c r="V24" s="111"/>
      <c r="W24" s="111"/>
      <c r="X24" s="111"/>
      <c r="Y24" s="111"/>
      <c r="Z24" s="111"/>
      <c r="AA24" s="111"/>
    </row>
    <row r="25" spans="1:27" ht="61.5" customHeight="1" x14ac:dyDescent="0.2">
      <c r="A25" s="1"/>
      <c r="B25" s="4"/>
      <c r="C25" s="95" t="str">
        <f>HLOOKUP(D2,MultiLanguage!B:S,25,FALSE)</f>
        <v>Artikel code*</v>
      </c>
      <c r="D25" s="277" t="str">
        <f>HLOOKUP(D2,MultiLanguage!B:S,27,FALSE)</f>
        <v>Aantal*</v>
      </c>
      <c r="E25" s="277" t="str">
        <f>HLOOKUP(D2,MultiLanguage!B:S,28,FALSE)</f>
        <v>Wat is het oorspronkelijke order / factuur nummer?*</v>
      </c>
      <c r="F25" s="96" t="str">
        <f>HLOOKUP(D2,MultiLanguage!B:S,29,FALSE)</f>
        <v xml:space="preserve">Wanneer heeft u het product gekocht?* </v>
      </c>
      <c r="G25" s="279" t="str">
        <f>HLOOKUP(D2,MultiLanguage!B:S,30,FALSE)</f>
        <v>Selecteer een retour reden*</v>
      </c>
      <c r="H25" s="287" t="s">
        <v>200</v>
      </c>
      <c r="I25" s="288"/>
      <c r="J25" s="279" t="str">
        <f>HLOOKUP(D2,MultiLanguage!B:S,31,FALSE)</f>
        <v>Is het product gebruikt?*</v>
      </c>
      <c r="K25" s="97" t="s">
        <v>201</v>
      </c>
      <c r="L25" s="279" t="str">
        <f>HLOOKUP(D2,MultiLanguage!B:S,32,FALSE)</f>
        <v>Heeft het product gewerkt?</v>
      </c>
      <c r="M25" s="97" t="s">
        <v>114</v>
      </c>
      <c r="N25" s="264" t="str">
        <f>HLOOKUP(D2,MultiLanguage!B:S,33,FALSE)</f>
        <v>Fout omschrijving defecte producten</v>
      </c>
      <c r="O25" s="265"/>
      <c r="P25" s="290" t="str">
        <f>HLOOKUP(D2,MultiLanguage!B:S,34,FALSE)</f>
        <v>RMA wordt verstrekt door de klantenservice Carrier</v>
      </c>
      <c r="Q25" s="33"/>
      <c r="R25" s="147" t="s">
        <v>683</v>
      </c>
      <c r="S25" s="148" t="s">
        <v>36</v>
      </c>
      <c r="T25" s="149" t="s">
        <v>10</v>
      </c>
      <c r="U25" s="234" t="s">
        <v>684</v>
      </c>
      <c r="V25" s="133" t="s">
        <v>686</v>
      </c>
      <c r="W25" s="133" t="s">
        <v>57</v>
      </c>
      <c r="X25" s="133" t="s">
        <v>685</v>
      </c>
      <c r="Y25" s="133" t="s">
        <v>116</v>
      </c>
      <c r="Z25" s="133" t="s">
        <v>106</v>
      </c>
      <c r="AA25" s="134" t="s">
        <v>107</v>
      </c>
    </row>
    <row r="26" spans="1:27" ht="12" customHeight="1" x14ac:dyDescent="0.2">
      <c r="A26" s="1"/>
      <c r="B26" s="4"/>
      <c r="C26" s="100" t="str">
        <f>HLOOKUP(D2,MultiLanguage!B:S,26,FALSE)</f>
        <v>Weet U zeker dat het om een Carrier artikel gaat?</v>
      </c>
      <c r="D26" s="278"/>
      <c r="E26" s="278"/>
      <c r="F26" s="217" t="str">
        <f>HLOOKUP(D2,DATE!B:N,2,FALSE)</f>
        <v>Mnd-JJ</v>
      </c>
      <c r="G26" s="278"/>
      <c r="H26" s="102"/>
      <c r="I26" s="103"/>
      <c r="J26" s="278"/>
      <c r="K26" s="101"/>
      <c r="L26" s="278"/>
      <c r="M26" s="101"/>
      <c r="N26" s="266" t="str">
        <f>HLOOKUP(D2,MultiLanguage!B:S,61,FALSE)</f>
        <v>(VERPLICHT)</v>
      </c>
      <c r="O26" s="267"/>
      <c r="P26" s="291"/>
      <c r="Q26" s="33"/>
      <c r="R26" s="58"/>
      <c r="S26" s="59"/>
      <c r="T26" s="60"/>
      <c r="U26" s="233"/>
      <c r="V26" s="218"/>
      <c r="W26" s="61"/>
      <c r="X26" s="61"/>
      <c r="Y26" s="61"/>
      <c r="Z26" s="61"/>
      <c r="AA26" s="62"/>
    </row>
    <row r="27" spans="1:27" s="18" customFormat="1" ht="22.5" customHeight="1" x14ac:dyDescent="0.2">
      <c r="A27" s="15"/>
      <c r="B27" s="7"/>
      <c r="C27" s="40"/>
      <c r="D27" s="41"/>
      <c r="E27" s="42"/>
      <c r="F27" s="210"/>
      <c r="G27" s="151" t="s">
        <v>58</v>
      </c>
      <c r="H27" s="285" t="str">
        <f t="shared" ref="H27:H32" si="0">VLOOKUP(G27,$C$120:$G$147,5,FALSE)</f>
        <v>-Select-</v>
      </c>
      <c r="I27" s="289"/>
      <c r="J27" s="106" t="s">
        <v>58</v>
      </c>
      <c r="K27" s="104" t="str">
        <f t="shared" ref="K27:K32" si="1">VLOOKUP(J27,$E$120:$H$147,4,FALSE)</f>
        <v>-Select-</v>
      </c>
      <c r="L27" s="72" t="s">
        <v>58</v>
      </c>
      <c r="M27" s="98" t="str">
        <f t="shared" ref="M27:M32" si="2">VLOOKUP(L27,$E$120:$H$147,4,FALSE)</f>
        <v>-Select-</v>
      </c>
      <c r="N27" s="257"/>
      <c r="O27" s="258"/>
      <c r="P27" s="308"/>
      <c r="Q27" s="30"/>
      <c r="R27" s="25" t="str">
        <f ca="1">IF(ISNA(IF(F27="&lt; 2009","&gt;120",(IF($O$23&lt;(121+VLOOKUP(F27,DATE!B:N,3,FALSE)),"&lt;120","&gt;120")))),"",IF(F27="&lt; 2009","&gt;120",(IF($O$23&lt;(121+VLOOKUP(F27,DATE!B:N,3,FALSE)),"&lt;120","&gt;120"))))</f>
        <v/>
      </c>
      <c r="S27" s="23" t="str">
        <f ca="1">IF(ISNA(IF(F27="&lt; 2009","No",(IF($O$23&lt;(121+VLOOKUP(F27,DATE!B:N,3,FALSE)),"Yes","No")))),"",IF(F27="&lt; 2009","No",(IF($O$23&lt;(121+VLOOKUP(F27,DATE!B:N,3,FALSE)),"Yes","No"))))</f>
        <v/>
      </c>
      <c r="T27" s="34" t="str">
        <f t="shared" ref="T27:T32" ca="1" si="3">IF(H27="Product is Defect",CONCATENATE(R27,"/",K27,"/",M27),CONCATENATE(K27,"/",S27,"/",H27))</f>
        <v>-Select-//-Select-</v>
      </c>
      <c r="U27" s="235" t="str">
        <f>IF(ISNA(VLOOKUP(F27,DATE!B:N,2,FALSE)),"",VLOOKUP(F27,DATE!B:N,2,FALSE))</f>
        <v/>
      </c>
      <c r="V27" s="24" t="str">
        <f ca="1">IF(ISNA(CONCATENATE((VLOOKUP(T27,'Q&amp;A'!$A:$C,2,FALSE))," - ",(VLOOKUP(T27,'Q&amp;A'!$A:$C,3,FALSE)))),"",CONCATENATE((VLOOKUP(T27,'Q&amp;A'!$A:$C,2,FALSE))," - ",(VLOOKUP(T27,'Q&amp;A'!$A:$C,3,FALSE))))</f>
        <v/>
      </c>
      <c r="W27" s="24" t="str">
        <f ca="1">IF(ISNA(VLOOKUP(T27,'Q&amp;A'!$A:$D,4,FALSE)),"",(VLOOKUP(T27,'Q&amp;A'!$A:$D,4,FALSE)))</f>
        <v/>
      </c>
      <c r="X27" s="53" t="s">
        <v>8</v>
      </c>
      <c r="Y27" s="55"/>
      <c r="Z27" s="50"/>
      <c r="AA27" s="46"/>
    </row>
    <row r="28" spans="1:27" s="18" customFormat="1" ht="22.5" customHeight="1" x14ac:dyDescent="0.2">
      <c r="A28" s="15"/>
      <c r="B28" s="7"/>
      <c r="C28" s="40"/>
      <c r="D28" s="41"/>
      <c r="E28" s="42"/>
      <c r="F28" s="210"/>
      <c r="G28" s="151" t="s">
        <v>58</v>
      </c>
      <c r="H28" s="285" t="str">
        <f t="shared" si="0"/>
        <v>-Select-</v>
      </c>
      <c r="I28" s="289"/>
      <c r="J28" s="106" t="s">
        <v>58</v>
      </c>
      <c r="K28" s="104" t="str">
        <f t="shared" si="1"/>
        <v>-Select-</v>
      </c>
      <c r="L28" s="72" t="s">
        <v>58</v>
      </c>
      <c r="M28" s="98" t="str">
        <f t="shared" si="2"/>
        <v>-Select-</v>
      </c>
      <c r="N28" s="257"/>
      <c r="O28" s="258"/>
      <c r="P28" s="309"/>
      <c r="Q28" s="15"/>
      <c r="R28" s="25" t="e">
        <f ca="1">IF(F28="&lt; 2009","&gt;120",(IF($O$23&lt;(121+VLOOKUP(F28,DATE!B:N,3,FALSE)),"&lt;120","&gt;120")))</f>
        <v>#N/A</v>
      </c>
      <c r="S28" s="23" t="e">
        <f ca="1">IF(F28="&lt; 2009","No",(IF($O$23&lt;(121+VLOOKUP(F28,DATE!B:N,3,FALSE)),"Yes","No")))</f>
        <v>#N/A</v>
      </c>
      <c r="T28" s="34" t="e">
        <f t="shared" ca="1" si="3"/>
        <v>#N/A</v>
      </c>
      <c r="U28" s="235" t="str">
        <f>IF(ISNA(VLOOKUP(F28,DATE!B:N,2,FALSE)),"",VLOOKUP(F28,DATE!B:N,2,FALSE))</f>
        <v/>
      </c>
      <c r="V28" s="24" t="str">
        <f ca="1">IF(ISNA(CONCATENATE((VLOOKUP(T28,'Q&amp;A'!$A:$C,2,FALSE))," - ",(VLOOKUP(T28,'Q&amp;A'!$A:$C,3,FALSE)))),"",CONCATENATE((VLOOKUP(T28,'Q&amp;A'!$A:$C,2,FALSE))," - ",(VLOOKUP(T28,'Q&amp;A'!$A:$C,3,FALSE))))</f>
        <v/>
      </c>
      <c r="W28" s="24" t="str">
        <f ca="1">IF(ISNA(VLOOKUP(T28,'Q&amp;A'!$A:$D,4,FALSE)),"",(VLOOKUP(T28,'Q&amp;A'!$A:$D,4,FALSE)))</f>
        <v/>
      </c>
      <c r="X28" s="53" t="s">
        <v>8</v>
      </c>
      <c r="Y28" s="55"/>
      <c r="Z28" s="50"/>
      <c r="AA28" s="46"/>
    </row>
    <row r="29" spans="1:27" s="18" customFormat="1" ht="22.5" customHeight="1" x14ac:dyDescent="0.2">
      <c r="A29" s="15"/>
      <c r="B29" s="7"/>
      <c r="C29" s="40"/>
      <c r="D29" s="41"/>
      <c r="E29" s="42"/>
      <c r="F29" s="210"/>
      <c r="G29" s="151" t="str">
        <f>HLOOKUP($D$2,MultiLanguage!B:S,4,FALSE)</f>
        <v>-Selecteer-</v>
      </c>
      <c r="H29" s="285" t="str">
        <f t="shared" si="0"/>
        <v>-Select-</v>
      </c>
      <c r="I29" s="289"/>
      <c r="J29" s="106" t="str">
        <f>HLOOKUP($D$2,MultiLanguage!B:S,4,FALSE)</f>
        <v>-Selecteer-</v>
      </c>
      <c r="K29" s="104" t="str">
        <f t="shared" si="1"/>
        <v>-Select-</v>
      </c>
      <c r="L29" s="72" t="str">
        <f>HLOOKUP($D$2,MultiLanguage!B:S,4,FALSE)</f>
        <v>-Selecteer-</v>
      </c>
      <c r="M29" s="98" t="str">
        <f t="shared" si="2"/>
        <v>-Select-</v>
      </c>
      <c r="N29" s="257"/>
      <c r="O29" s="258"/>
      <c r="P29" s="308"/>
      <c r="Q29" s="30"/>
      <c r="R29" s="25" t="e">
        <f ca="1">IF(F29="&lt; 2009","&gt;120",(IF($O$23&lt;(121+VLOOKUP(F29,DATE!B:N,3,FALSE)),"&lt;120","&gt;120")))</f>
        <v>#N/A</v>
      </c>
      <c r="S29" s="23" t="e">
        <f ca="1">IF(F29="&lt; 2009","No",(IF($O$23&lt;(121+VLOOKUP(F29,DATE!B:N,3,FALSE)),"Yes","No")))</f>
        <v>#N/A</v>
      </c>
      <c r="T29" s="34" t="e">
        <f t="shared" ca="1" si="3"/>
        <v>#N/A</v>
      </c>
      <c r="U29" s="235" t="str">
        <f>IF(ISNA(VLOOKUP(F29,DATE!B:N,2,FALSE)),"",VLOOKUP(F29,DATE!B:N,2,FALSE))</f>
        <v/>
      </c>
      <c r="V29" s="24" t="str">
        <f ca="1">IF(ISNA(CONCATENATE((VLOOKUP(T29,'Q&amp;A'!$A:$C,2,FALSE))," - ",(VLOOKUP(T29,'Q&amp;A'!$A:$C,3,FALSE)))),"",CONCATENATE((VLOOKUP(T29,'Q&amp;A'!$A:$C,2,FALSE))," - ",(VLOOKUP(T29,'Q&amp;A'!$A:$C,3,FALSE))))</f>
        <v/>
      </c>
      <c r="W29" s="24" t="str">
        <f ca="1">IF(ISNA(VLOOKUP(T29,'Q&amp;A'!$A:$D,4,FALSE)),"",(VLOOKUP(T29,'Q&amp;A'!$A:$D,4,FALSE)))</f>
        <v/>
      </c>
      <c r="X29" s="53" t="s">
        <v>8</v>
      </c>
      <c r="Y29" s="55"/>
      <c r="Z29" s="50"/>
      <c r="AA29" s="46"/>
    </row>
    <row r="30" spans="1:27" s="18" customFormat="1" ht="22.5" customHeight="1" x14ac:dyDescent="0.2">
      <c r="A30" s="15"/>
      <c r="B30" s="7"/>
      <c r="C30" s="40"/>
      <c r="D30" s="41"/>
      <c r="E30" s="42"/>
      <c r="F30" s="210"/>
      <c r="G30" s="151" t="str">
        <f>HLOOKUP($D$2,MultiLanguage!B:S,4,FALSE)</f>
        <v>-Selecteer-</v>
      </c>
      <c r="H30" s="285" t="str">
        <f t="shared" si="0"/>
        <v>-Select-</v>
      </c>
      <c r="I30" s="289"/>
      <c r="J30" s="106" t="str">
        <f>HLOOKUP($D$2,MultiLanguage!B:S,4,FALSE)</f>
        <v>-Selecteer-</v>
      </c>
      <c r="K30" s="104" t="str">
        <f t="shared" si="1"/>
        <v>-Select-</v>
      </c>
      <c r="L30" s="72" t="str">
        <f>HLOOKUP($D$2,MultiLanguage!B:S,4,FALSE)</f>
        <v>-Selecteer-</v>
      </c>
      <c r="M30" s="98" t="str">
        <f t="shared" si="2"/>
        <v>-Select-</v>
      </c>
      <c r="N30" s="257"/>
      <c r="O30" s="258"/>
      <c r="P30" s="308"/>
      <c r="Q30" s="30"/>
      <c r="R30" s="25" t="e">
        <f ca="1">IF(F30="&lt; 2009","&gt;120",(IF($O$23&lt;(121+VLOOKUP(F30,DATE!B:N,3,FALSE)),"&lt;120","&gt;120")))</f>
        <v>#N/A</v>
      </c>
      <c r="S30" s="23" t="e">
        <f ca="1">IF(F30="&lt; 2009","No",(IF($O$23&lt;(121+VLOOKUP(F30,DATE!B:N,3,FALSE)),"Yes","No")))</f>
        <v>#N/A</v>
      </c>
      <c r="T30" s="34" t="e">
        <f t="shared" ca="1" si="3"/>
        <v>#N/A</v>
      </c>
      <c r="U30" s="235" t="str">
        <f>IF(ISNA(VLOOKUP(F30,DATE!B:N,2,FALSE)),"",VLOOKUP(F30,DATE!B:N,2,FALSE))</f>
        <v/>
      </c>
      <c r="V30" s="24" t="str">
        <f ca="1">IF(ISNA(CONCATENATE((VLOOKUP(T30,'Q&amp;A'!$A:$C,2,FALSE))," - ",(VLOOKUP(T30,'Q&amp;A'!$A:$C,3,FALSE)))),"",CONCATENATE((VLOOKUP(T30,'Q&amp;A'!$A:$C,2,FALSE))," - ",(VLOOKUP(T30,'Q&amp;A'!$A:$C,3,FALSE))))</f>
        <v/>
      </c>
      <c r="W30" s="24" t="str">
        <f ca="1">IF(ISNA(VLOOKUP(T30,'Q&amp;A'!$A:$D,4,FALSE)),"",(VLOOKUP(T30,'Q&amp;A'!$A:$D,4,FALSE)))</f>
        <v/>
      </c>
      <c r="X30" s="53" t="s">
        <v>8</v>
      </c>
      <c r="Y30" s="55"/>
      <c r="Z30" s="50"/>
      <c r="AA30" s="46"/>
    </row>
    <row r="31" spans="1:27" s="18" customFormat="1" ht="22.5" customHeight="1" x14ac:dyDescent="0.2">
      <c r="A31" s="15"/>
      <c r="B31" s="7"/>
      <c r="C31" s="40"/>
      <c r="D31" s="41"/>
      <c r="E31" s="42"/>
      <c r="F31" s="210"/>
      <c r="G31" s="151" t="str">
        <f>HLOOKUP($D$2,MultiLanguage!B:S,4,FALSE)</f>
        <v>-Selecteer-</v>
      </c>
      <c r="H31" s="285" t="str">
        <f t="shared" si="0"/>
        <v>-Select-</v>
      </c>
      <c r="I31" s="289"/>
      <c r="J31" s="106" t="str">
        <f>HLOOKUP($D$2,MultiLanguage!B:S,4,FALSE)</f>
        <v>-Selecteer-</v>
      </c>
      <c r="K31" s="104" t="str">
        <f t="shared" si="1"/>
        <v>-Select-</v>
      </c>
      <c r="L31" s="72" t="str">
        <f>HLOOKUP($D$2,MultiLanguage!B:S,4,FALSE)</f>
        <v>-Selecteer-</v>
      </c>
      <c r="M31" s="98" t="str">
        <f t="shared" si="2"/>
        <v>-Select-</v>
      </c>
      <c r="N31" s="257"/>
      <c r="O31" s="258"/>
      <c r="P31" s="308"/>
      <c r="Q31" s="30"/>
      <c r="R31" s="25" t="e">
        <f ca="1">IF(F31="&lt; 2009","&gt;120",(IF($O$23&lt;(121+VLOOKUP(F31,DATE!B:N,3,FALSE)),"&lt;120","&gt;120")))</f>
        <v>#N/A</v>
      </c>
      <c r="S31" s="23" t="e">
        <f ca="1">IF(F31="&lt; 2009","No",(IF($O$23&lt;(121+VLOOKUP(F31,DATE!B:N,3,FALSE)),"Yes","No")))</f>
        <v>#N/A</v>
      </c>
      <c r="T31" s="34" t="e">
        <f t="shared" ca="1" si="3"/>
        <v>#N/A</v>
      </c>
      <c r="U31" s="235" t="str">
        <f>IF(ISNA(VLOOKUP(F31,DATE!B:N,2,FALSE)),"",VLOOKUP(F31,DATE!B:N,2,FALSE))</f>
        <v/>
      </c>
      <c r="V31" s="24" t="str">
        <f ca="1">IF(ISNA(CONCATENATE((VLOOKUP(T31,'Q&amp;A'!$A:$C,2,FALSE))," - ",(VLOOKUP(T31,'Q&amp;A'!$A:$C,3,FALSE)))),"",CONCATENATE((VLOOKUP(T31,'Q&amp;A'!$A:$C,2,FALSE))," - ",(VLOOKUP(T31,'Q&amp;A'!$A:$C,3,FALSE))))</f>
        <v/>
      </c>
      <c r="W31" s="24" t="str">
        <f ca="1">IF(ISNA(VLOOKUP(T31,'Q&amp;A'!$A:$D,4,FALSE)),"",(VLOOKUP(T31,'Q&amp;A'!$A:$D,4,FALSE)))</f>
        <v/>
      </c>
      <c r="X31" s="53" t="s">
        <v>8</v>
      </c>
      <c r="Y31" s="55"/>
      <c r="Z31" s="50"/>
      <c r="AA31" s="46"/>
    </row>
    <row r="32" spans="1:27" s="18" customFormat="1" ht="22.5" customHeight="1" thickBot="1" x14ac:dyDescent="0.25">
      <c r="A32" s="15"/>
      <c r="B32" s="7"/>
      <c r="C32" s="43"/>
      <c r="D32" s="44"/>
      <c r="E32" s="45"/>
      <c r="F32" s="211"/>
      <c r="G32" s="152" t="str">
        <f>HLOOKUP($D$2,MultiLanguage!B:S,4,FALSE)</f>
        <v>-Selecteer-</v>
      </c>
      <c r="H32" s="297" t="str">
        <f t="shared" si="0"/>
        <v>-Select-</v>
      </c>
      <c r="I32" s="298"/>
      <c r="J32" s="73" t="str">
        <f>HLOOKUP($D$2,MultiLanguage!B:S,4,FALSE)</f>
        <v>-Selecteer-</v>
      </c>
      <c r="K32" s="105" t="str">
        <f t="shared" si="1"/>
        <v>-Select-</v>
      </c>
      <c r="L32" s="73" t="str">
        <f>HLOOKUP($D$2,MultiLanguage!B:S,4,FALSE)</f>
        <v>-Selecteer-</v>
      </c>
      <c r="M32" s="99" t="str">
        <f t="shared" si="2"/>
        <v>-Select-</v>
      </c>
      <c r="N32" s="259"/>
      <c r="O32" s="260"/>
      <c r="P32" s="310"/>
      <c r="Q32" s="30"/>
      <c r="R32" s="26" t="e">
        <f ca="1">IF(F32="&lt; 2009","&gt;120",(IF($O$23&lt;(121+VLOOKUP(F32,DATE!B:N,3,FALSE)),"&lt;120","&gt;120")))</f>
        <v>#N/A</v>
      </c>
      <c r="S32" s="27" t="e">
        <f ca="1">IF(F32="&lt; 2009","No",(IF($O$23&lt;(121+VLOOKUP(F32,DATE!B:N,3,FALSE)),"Yes","No")))</f>
        <v>#N/A</v>
      </c>
      <c r="T32" s="35" t="e">
        <f t="shared" ca="1" si="3"/>
        <v>#N/A</v>
      </c>
      <c r="U32" s="236" t="str">
        <f>IF(ISNA(VLOOKUP(F32,DATE!B:N,2,FALSE)),"",VLOOKUP(F32,DATE!B:N,2,FALSE))</f>
        <v/>
      </c>
      <c r="V32" s="28" t="str">
        <f ca="1">IF(ISNA(CONCATENATE((VLOOKUP(T32,'Q&amp;A'!$A:$C,2,FALSE))," - ",(VLOOKUP(T32,'Q&amp;A'!$A:$C,3,FALSE)))),"",CONCATENATE((VLOOKUP(T32,'Q&amp;A'!$A:$C,2,FALSE))," - ",(VLOOKUP(T32,'Q&amp;A'!$A:$C,3,FALSE))))</f>
        <v/>
      </c>
      <c r="W32" s="28" t="str">
        <f ca="1">IF(ISNA(VLOOKUP(T32,'Q&amp;A'!$A:$D,4,FALSE)),"",(VLOOKUP(T32,'Q&amp;A'!$A:$D,4,FALSE)))</f>
        <v/>
      </c>
      <c r="X32" s="54" t="s">
        <v>8</v>
      </c>
      <c r="Y32" s="56"/>
      <c r="Z32" s="51"/>
      <c r="AA32" s="47"/>
    </row>
    <row r="33" spans="1:28" ht="4.5" customHeight="1" x14ac:dyDescent="0.2">
      <c r="A33" s="1"/>
      <c r="B33" s="1"/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295" t="str">
        <f>IF(19-(COUNTBLANK(C44:C62))&gt;0,HLOOKUP(D2,MultiLanguage!B:S,60,FALSE),"")</f>
        <v/>
      </c>
      <c r="P33" s="295"/>
      <c r="Q33" s="3"/>
      <c r="V33" s="307" t="str">
        <f>IF(19-(COUNTBLANK(C44:C62))&gt;0,"See also page 2","")</f>
        <v/>
      </c>
      <c r="W33" s="307"/>
      <c r="X33" s="130"/>
    </row>
    <row r="34" spans="1:28" hidden="1" x14ac:dyDescent="0.2">
      <c r="A34" s="1"/>
      <c r="B34" s="1"/>
      <c r="C34" s="12" t="str">
        <f>HLOOKUP(D2,MultiLanguage!B:S,38,FALSE)</f>
        <v>Instructie:</v>
      </c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296"/>
      <c r="P34" s="296"/>
      <c r="Q34" s="3"/>
      <c r="V34" s="284"/>
      <c r="W34" s="284"/>
      <c r="X34" s="130"/>
    </row>
    <row r="35" spans="1:28" s="17" customFormat="1" x14ac:dyDescent="0.2">
      <c r="A35" s="1"/>
      <c r="B35" s="1"/>
      <c r="C35" s="11" t="str">
        <f>HLOOKUP(D2,MultiLanguage!B:S,39,FALSE)</f>
        <v>Stuur dit document aan het e-maildres bovenaan vermeld. (Regio afhankelijk)</v>
      </c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255"/>
      <c r="P35" s="255"/>
      <c r="Q35" s="3"/>
      <c r="X35" s="131" t="s">
        <v>8</v>
      </c>
      <c r="Y35" s="132"/>
      <c r="AB35" s="16"/>
    </row>
    <row r="36" spans="1:28" s="17" customFormat="1" x14ac:dyDescent="0.2">
      <c r="A36" s="1"/>
      <c r="B36" s="1"/>
      <c r="C36" s="13" t="str">
        <f>HLOOKUP(D2,MultiLanguage!B:S,40,FALSE)</f>
        <v>Na controle zal Carrier een goedkeuring geven doormiddel van het verstekken van een RMA en verdere instructies voor het retourneren.</v>
      </c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X36" s="131" t="s">
        <v>7</v>
      </c>
      <c r="Y36" s="132"/>
      <c r="AB36" s="16"/>
    </row>
    <row r="37" spans="1:28" s="17" customFormat="1" x14ac:dyDescent="0.2">
      <c r="A37" s="1"/>
      <c r="B37" s="1"/>
      <c r="C37" s="13" t="str">
        <f>HLOOKUP(D2,MultiLanguage!B:S,41,FALSE)</f>
        <v>Als u meerdere RMA's ontvangt zult u uw zending moeten opsplitsen en separaat moeten verzenden middels het bijhorende verzendlabel.</v>
      </c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X37" s="130"/>
      <c r="AB37" s="16"/>
    </row>
    <row r="38" spans="1:28" s="17" customFormat="1" x14ac:dyDescent="0.2">
      <c r="A38" s="1"/>
      <c r="B38" s="1"/>
      <c r="C38" s="14" t="str">
        <f>HLOOKUP(D2,MultiLanguage!B:S,42,FALSE)</f>
        <v>Verstuur geen producten zonder RMA nummer</v>
      </c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2"/>
      <c r="P38" s="2"/>
      <c r="Q38" s="3"/>
      <c r="X38" s="130"/>
      <c r="AB38" s="16"/>
    </row>
    <row r="39" spans="1:28" s="17" customFormat="1" ht="14.25" customHeight="1" x14ac:dyDescent="0.2">
      <c r="A39" s="1"/>
      <c r="B39" s="1"/>
      <c r="C39" s="68" t="str">
        <f>HLOOKUP(D2,MultiLanguage!B:S,43,FALSE)</f>
        <v>Notitie: Ongebruikte producten zijn compleet in een originele verzegelde verpakking.</v>
      </c>
      <c r="D39" s="2"/>
      <c r="E39" s="2"/>
      <c r="F39" s="3"/>
      <c r="G39" s="3"/>
      <c r="H39" s="3"/>
      <c r="I39" s="3"/>
      <c r="J39" s="3"/>
      <c r="K39" s="3"/>
      <c r="L39" s="302" t="str">
        <f>HLOOKUP(D2,MultiLanguage!B:S,44,FALSE)</f>
        <v>* Velden gemarkeerd met een sterretje zijn verplichte velden</v>
      </c>
      <c r="M39" s="303"/>
      <c r="N39" s="303"/>
      <c r="O39" s="303"/>
      <c r="P39" s="303"/>
      <c r="Q39" s="3"/>
      <c r="X39" s="130"/>
      <c r="AB39" s="16"/>
    </row>
    <row r="40" spans="1:28" ht="49.5" customHeight="1" x14ac:dyDescent="0.2">
      <c r="A40" s="1"/>
      <c r="B40" s="1"/>
      <c r="C40" s="1"/>
      <c r="D40" s="1"/>
      <c r="E40" s="1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16"/>
      <c r="S40" s="16"/>
      <c r="T40" s="16"/>
      <c r="U40" s="16"/>
      <c r="V40" s="16"/>
      <c r="W40" s="16"/>
      <c r="X40" s="52"/>
      <c r="Y40" s="16"/>
      <c r="Z40" s="16"/>
      <c r="AA40" s="16"/>
    </row>
    <row r="41" spans="1:28" ht="24" thickBot="1" x14ac:dyDescent="0.4">
      <c r="A41" s="1"/>
      <c r="B41" s="1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"/>
      <c r="R41" s="16"/>
      <c r="S41" s="16"/>
      <c r="T41" s="16"/>
      <c r="U41" s="231"/>
      <c r="V41" s="16"/>
      <c r="W41" s="16"/>
      <c r="X41" s="52"/>
      <c r="Y41" s="16"/>
      <c r="Z41" s="16"/>
      <c r="AA41" s="16"/>
    </row>
    <row r="42" spans="1:28" ht="61.5" customHeight="1" x14ac:dyDescent="0.2">
      <c r="A42" s="1"/>
      <c r="B42" s="4"/>
      <c r="C42" s="95" t="str">
        <f>HLOOKUP(D2,MultiLanguage!B:S,25,FALSE)</f>
        <v>Artikel code*</v>
      </c>
      <c r="D42" s="277" t="str">
        <f>HLOOKUP(D2,MultiLanguage!B:S,27,FALSE)</f>
        <v>Aantal*</v>
      </c>
      <c r="E42" s="277" t="str">
        <f>HLOOKUP(D2,MultiLanguage!B:S,28,FALSE)</f>
        <v>Wat is het oorspronkelijke order / factuur nummer?*</v>
      </c>
      <c r="F42" s="96" t="str">
        <f>HLOOKUP(D2,MultiLanguage!B:S,29,FALSE)</f>
        <v xml:space="preserve">Wanneer heeft u het product gekocht?* </v>
      </c>
      <c r="G42" s="279" t="str">
        <f>HLOOKUP(D2,MultiLanguage!B:S,30,FALSE)</f>
        <v>Selecteer een retour reden*</v>
      </c>
      <c r="H42" s="287" t="s">
        <v>200</v>
      </c>
      <c r="I42" s="288"/>
      <c r="J42" s="277" t="str">
        <f>HLOOKUP(D2,MultiLanguage!B:S,31,FALSE)</f>
        <v>Is het product gebruikt?*</v>
      </c>
      <c r="K42" s="97" t="s">
        <v>201</v>
      </c>
      <c r="L42" s="277" t="str">
        <f>HLOOKUP(D2,MultiLanguage!B:S,32,FALSE)</f>
        <v>Heeft het product gewerkt?</v>
      </c>
      <c r="M42" s="97" t="s">
        <v>114</v>
      </c>
      <c r="N42" s="264" t="str">
        <f>HLOOKUP(D2,MultiLanguage!B:S,33,FALSE)</f>
        <v>Fout omschrijving defecte producten</v>
      </c>
      <c r="O42" s="265"/>
      <c r="P42" s="290" t="str">
        <f>HLOOKUP(D2,MultiLanguage!B:S,34,FALSE)</f>
        <v>RMA wordt verstrekt door de klantenservice Carrier</v>
      </c>
      <c r="Q42" s="33"/>
      <c r="R42" s="147" t="s">
        <v>9</v>
      </c>
      <c r="S42" s="148" t="s">
        <v>36</v>
      </c>
      <c r="T42" s="149" t="s">
        <v>10</v>
      </c>
      <c r="U42" s="230" t="s">
        <v>684</v>
      </c>
      <c r="V42" s="133" t="s">
        <v>104</v>
      </c>
      <c r="W42" s="133" t="s">
        <v>57</v>
      </c>
      <c r="X42" s="133" t="s">
        <v>115</v>
      </c>
      <c r="Y42" s="133"/>
      <c r="Z42" s="133" t="s">
        <v>106</v>
      </c>
      <c r="AA42" s="134" t="s">
        <v>107</v>
      </c>
    </row>
    <row r="43" spans="1:28" ht="12" customHeight="1" x14ac:dyDescent="0.2">
      <c r="A43" s="1"/>
      <c r="B43" s="4"/>
      <c r="C43" s="100" t="str">
        <f>HLOOKUP(D2,MultiLanguage!B:S,26,FALSE)</f>
        <v>Weet U zeker dat het om een Carrier artikel gaat?</v>
      </c>
      <c r="D43" s="278"/>
      <c r="E43" s="278"/>
      <c r="F43" s="217" t="str">
        <f>HLOOKUP(D2,DATE!B:N,2,FALSE)</f>
        <v>Mnd-JJ</v>
      </c>
      <c r="G43" s="278"/>
      <c r="H43" s="102"/>
      <c r="I43" s="103"/>
      <c r="J43" s="278"/>
      <c r="K43" s="101"/>
      <c r="L43" s="278"/>
      <c r="M43" s="101"/>
      <c r="N43" s="266" t="str">
        <f>HLOOKUP(D2,MultiLanguage!B:S,61,FALSE)</f>
        <v>(VERPLICHT)</v>
      </c>
      <c r="O43" s="267"/>
      <c r="P43" s="291"/>
      <c r="Q43" s="33"/>
      <c r="R43" s="58"/>
      <c r="S43" s="59"/>
      <c r="T43" s="60"/>
      <c r="U43" s="229"/>
      <c r="V43" s="61"/>
      <c r="W43" s="61"/>
      <c r="X43" s="61"/>
      <c r="Y43" s="61"/>
      <c r="Z43" s="61"/>
      <c r="AA43" s="62"/>
    </row>
    <row r="44" spans="1:28" s="18" customFormat="1" ht="22.5" customHeight="1" x14ac:dyDescent="0.2">
      <c r="A44" s="15"/>
      <c r="B44" s="7"/>
      <c r="C44" s="40"/>
      <c r="D44" s="41"/>
      <c r="E44" s="42"/>
      <c r="F44" s="210"/>
      <c r="G44" s="151" t="str">
        <f>HLOOKUP($D$2,MultiLanguage!B:S,4,FALSE)</f>
        <v>-Selecteer-</v>
      </c>
      <c r="H44" s="285" t="str">
        <f>VLOOKUP(G44,$C$120:$G$147,5,FALSE)</f>
        <v>-Select-</v>
      </c>
      <c r="I44" s="286"/>
      <c r="J44" s="106" t="str">
        <f>HLOOKUP($D$2,MultiLanguage!B:S,4,FALSE)</f>
        <v>-Selecteer-</v>
      </c>
      <c r="K44" s="98" t="str">
        <f t="shared" ref="K44:K62" si="4">VLOOKUP(J44,$E$120:$H$147,4,FALSE)</f>
        <v>-Select-</v>
      </c>
      <c r="L44" s="72" t="str">
        <f>HLOOKUP($D$2,MultiLanguage!B:S,4,FALSE)</f>
        <v>-Selecteer-</v>
      </c>
      <c r="M44" s="98" t="str">
        <f>VLOOKUP(L44,$E$120:$H$147,4,FALSE)</f>
        <v>-Select-</v>
      </c>
      <c r="N44" s="257"/>
      <c r="O44" s="258"/>
      <c r="P44" s="36"/>
      <c r="Q44" s="30"/>
      <c r="R44" s="25" t="e">
        <f ca="1">IF(F44="&lt; 2009","&gt;120",(IF($O$23&lt;(121+VLOOKUP(F44,DATE!B:N,3,FALSE)),"&lt;120","&gt;120")))</f>
        <v>#N/A</v>
      </c>
      <c r="S44" s="23" t="e">
        <f ca="1">IF(F44="&lt; 2009","No",(IF($O$23&lt;(121+VLOOKUP(F44,DATE!B:N,3,FALSE)),"Yes","No")))</f>
        <v>#N/A</v>
      </c>
      <c r="T44" s="34" t="e">
        <f t="shared" ref="T44:T62" ca="1" si="5">IF(H44="Product is Defect",CONCATENATE(R44,"/",K44,"/",M44),CONCATENATE(K44,"/",S44,"/",H44))</f>
        <v>#N/A</v>
      </c>
      <c r="U44" s="227" t="str">
        <f>IF(ISNA(VLOOKUP(F44,DATE!B:N,2,FALSE)),"",VLOOKUP(F44,DATE!B:N,2,FALSE))</f>
        <v/>
      </c>
      <c r="V44" s="24" t="str">
        <f ca="1">IF(ISNA(CONCATENATE((VLOOKUP(T44,'Q&amp;A'!$A:$C,2,FALSE))," - ",(VLOOKUP(T44,'Q&amp;A'!$A:$C,3,FALSE)))),"",CONCATENATE((VLOOKUP(T44,'Q&amp;A'!$A:$C,2,FALSE))," - ",(VLOOKUP(T44,'Q&amp;A'!$A:$C,3,FALSE))))</f>
        <v/>
      </c>
      <c r="W44" s="24" t="str">
        <f ca="1">IF(ISNA(VLOOKUP(T44,'Q&amp;A'!$A:$D,4,FALSE)),"",(VLOOKUP(T44,'Q&amp;A'!$A:$D,4,FALSE)))</f>
        <v/>
      </c>
      <c r="X44" s="53" t="s">
        <v>8</v>
      </c>
      <c r="Y44" s="55"/>
      <c r="Z44" s="50"/>
      <c r="AA44" s="46"/>
    </row>
    <row r="45" spans="1:28" s="18" customFormat="1" ht="22.5" customHeight="1" x14ac:dyDescent="0.2">
      <c r="A45" s="15"/>
      <c r="B45" s="7"/>
      <c r="C45" s="40"/>
      <c r="D45" s="41"/>
      <c r="E45" s="42"/>
      <c r="F45" s="210"/>
      <c r="G45" s="151" t="str">
        <f>HLOOKUP($D$2,MultiLanguage!B:S,4,FALSE)</f>
        <v>-Selecteer-</v>
      </c>
      <c r="H45" s="285" t="str">
        <f t="shared" ref="H45:H62" si="6">VLOOKUP(G45,$C$120:$G$147,5,FALSE)</f>
        <v>-Select-</v>
      </c>
      <c r="I45" s="286"/>
      <c r="J45" s="106" t="str">
        <f>HLOOKUP($D$2,MultiLanguage!B:S,4,FALSE)</f>
        <v>-Selecteer-</v>
      </c>
      <c r="K45" s="98" t="str">
        <f t="shared" si="4"/>
        <v>-Select-</v>
      </c>
      <c r="L45" s="72" t="str">
        <f>HLOOKUP($D$2,MultiLanguage!B:S,4,FALSE)</f>
        <v>-Selecteer-</v>
      </c>
      <c r="M45" s="98" t="str">
        <f t="shared" ref="M45:M62" si="7">VLOOKUP(L45,$E$120:$H$147,4,FALSE)</f>
        <v>-Select-</v>
      </c>
      <c r="N45" s="257"/>
      <c r="O45" s="258"/>
      <c r="P45" s="37"/>
      <c r="Q45" s="15"/>
      <c r="R45" s="25" t="e">
        <f ca="1">IF(F45="&lt; 2009","&gt;120",(IF($O$23&lt;(121+VLOOKUP(F45,DATE!B:N,3,FALSE)),"&lt;120","&gt;120")))</f>
        <v>#N/A</v>
      </c>
      <c r="S45" s="23" t="e">
        <f ca="1">IF(F45="&lt; 2009","No",(IF($O$23&lt;(121+VLOOKUP(F45,DATE!B:N,3,FALSE)),"Yes","No")))</f>
        <v>#N/A</v>
      </c>
      <c r="T45" s="34" t="e">
        <f t="shared" ca="1" si="5"/>
        <v>#N/A</v>
      </c>
      <c r="U45" s="227" t="str">
        <f>IF(ISNA(VLOOKUP(F45,DATE!B:N,2,FALSE)),"",VLOOKUP(F45,DATE!B:N,2,FALSE))</f>
        <v/>
      </c>
      <c r="V45" s="24" t="str">
        <f ca="1">IF(ISNA(CONCATENATE((VLOOKUP(T45,'Q&amp;A'!$A:$C,2,FALSE))," - ",(VLOOKUP(T45,'Q&amp;A'!$A:$C,3,FALSE)))),"",CONCATENATE((VLOOKUP(T45,'Q&amp;A'!$A:$C,2,FALSE))," - ",(VLOOKUP(T45,'Q&amp;A'!$A:$C,3,FALSE))))</f>
        <v/>
      </c>
      <c r="W45" s="24" t="str">
        <f ca="1">IF(ISNA(VLOOKUP(T45,'Q&amp;A'!$A:$D,4,FALSE)),"",(VLOOKUP(T45,'Q&amp;A'!$A:$D,4,FALSE)))</f>
        <v/>
      </c>
      <c r="X45" s="53" t="s">
        <v>8</v>
      </c>
      <c r="Y45" s="55"/>
      <c r="Z45" s="50"/>
      <c r="AA45" s="46"/>
    </row>
    <row r="46" spans="1:28" s="18" customFormat="1" ht="22.5" customHeight="1" x14ac:dyDescent="0.2">
      <c r="A46" s="15"/>
      <c r="B46" s="7"/>
      <c r="C46" s="40"/>
      <c r="D46" s="41"/>
      <c r="E46" s="42"/>
      <c r="F46" s="210"/>
      <c r="G46" s="151" t="str">
        <f>HLOOKUP($D$2,MultiLanguage!B:S,4,FALSE)</f>
        <v>-Selecteer-</v>
      </c>
      <c r="H46" s="285" t="str">
        <f t="shared" si="6"/>
        <v>-Select-</v>
      </c>
      <c r="I46" s="286"/>
      <c r="J46" s="106" t="str">
        <f>HLOOKUP($D$2,MultiLanguage!B:S,4,FALSE)</f>
        <v>-Selecteer-</v>
      </c>
      <c r="K46" s="98" t="str">
        <f t="shared" si="4"/>
        <v>-Select-</v>
      </c>
      <c r="L46" s="72" t="str">
        <f>HLOOKUP($D$2,MultiLanguage!B:S,4,FALSE)</f>
        <v>-Selecteer-</v>
      </c>
      <c r="M46" s="98" t="str">
        <f t="shared" si="7"/>
        <v>-Select-</v>
      </c>
      <c r="N46" s="257"/>
      <c r="O46" s="258"/>
      <c r="P46" s="36"/>
      <c r="Q46" s="30"/>
      <c r="R46" s="25" t="e">
        <f ca="1">IF(F46="&lt; 2009","&gt;120",(IF($O$23&lt;(121+VLOOKUP(F46,DATE!B:N,3,FALSE)),"&lt;120","&gt;120")))</f>
        <v>#N/A</v>
      </c>
      <c r="S46" s="23" t="e">
        <f ca="1">IF(F46="&lt; 2009","No",(IF($O$23&lt;(121+VLOOKUP(F46,DATE!B:N,3,FALSE)),"Yes","No")))</f>
        <v>#N/A</v>
      </c>
      <c r="T46" s="34" t="e">
        <f t="shared" ca="1" si="5"/>
        <v>#N/A</v>
      </c>
      <c r="U46" s="227" t="str">
        <f>IF(ISNA(VLOOKUP(F46,DATE!B:N,2,FALSE)),"",VLOOKUP(F46,DATE!B:N,2,FALSE))</f>
        <v/>
      </c>
      <c r="V46" s="24" t="str">
        <f ca="1">IF(ISNA(CONCATENATE((VLOOKUP(T46,'Q&amp;A'!$A:$C,2,FALSE))," - ",(VLOOKUP(T46,'Q&amp;A'!$A:$C,3,FALSE)))),"",CONCATENATE((VLOOKUP(T46,'Q&amp;A'!$A:$C,2,FALSE))," - ",(VLOOKUP(T46,'Q&amp;A'!$A:$C,3,FALSE))))</f>
        <v/>
      </c>
      <c r="W46" s="24" t="str">
        <f ca="1">IF(ISNA(VLOOKUP(T46,'Q&amp;A'!$A:$D,4,FALSE)),"",(VLOOKUP(T46,'Q&amp;A'!$A:$D,4,FALSE)))</f>
        <v/>
      </c>
      <c r="X46" s="53" t="s">
        <v>8</v>
      </c>
      <c r="Y46" s="55"/>
      <c r="Z46" s="50"/>
      <c r="AA46" s="46"/>
    </row>
    <row r="47" spans="1:28" s="18" customFormat="1" ht="22.5" customHeight="1" x14ac:dyDescent="0.2">
      <c r="A47" s="15"/>
      <c r="B47" s="7"/>
      <c r="C47" s="40"/>
      <c r="D47" s="41"/>
      <c r="E47" s="42"/>
      <c r="F47" s="210"/>
      <c r="G47" s="151" t="str">
        <f>HLOOKUP($D$2,MultiLanguage!B:S,4,FALSE)</f>
        <v>-Selecteer-</v>
      </c>
      <c r="H47" s="285" t="str">
        <f t="shared" si="6"/>
        <v>-Select-</v>
      </c>
      <c r="I47" s="286"/>
      <c r="J47" s="106" t="str">
        <f>HLOOKUP($D$2,MultiLanguage!B:S,4,FALSE)</f>
        <v>-Selecteer-</v>
      </c>
      <c r="K47" s="98" t="str">
        <f t="shared" si="4"/>
        <v>-Select-</v>
      </c>
      <c r="L47" s="72" t="str">
        <f>HLOOKUP($D$2,MultiLanguage!B:S,4,FALSE)</f>
        <v>-Selecteer-</v>
      </c>
      <c r="M47" s="98" t="str">
        <f t="shared" si="7"/>
        <v>-Select-</v>
      </c>
      <c r="N47" s="257"/>
      <c r="O47" s="258"/>
      <c r="P47" s="36"/>
      <c r="Q47" s="30"/>
      <c r="R47" s="25" t="e">
        <f ca="1">IF(F47="&lt; 2009","&gt;120",(IF($O$23&lt;(121+VLOOKUP(F47,DATE!B:N,3,FALSE)),"&lt;120","&gt;120")))</f>
        <v>#N/A</v>
      </c>
      <c r="S47" s="23" t="e">
        <f ca="1">IF(F47="&lt; 2009","No",(IF($O$23&lt;(121+VLOOKUP(F47,DATE!B:N,3,FALSE)),"Yes","No")))</f>
        <v>#N/A</v>
      </c>
      <c r="T47" s="34" t="e">
        <f t="shared" ca="1" si="5"/>
        <v>#N/A</v>
      </c>
      <c r="U47" s="227" t="str">
        <f>IF(ISNA(VLOOKUP(F47,DATE!B:N,2,FALSE)),"",VLOOKUP(F47,DATE!B:N,2,FALSE))</f>
        <v/>
      </c>
      <c r="V47" s="24" t="str">
        <f ca="1">IF(ISNA(CONCATENATE((VLOOKUP(T47,'Q&amp;A'!$A:$C,2,FALSE))," - ",(VLOOKUP(T47,'Q&amp;A'!$A:$C,3,FALSE)))),"",CONCATENATE((VLOOKUP(T47,'Q&amp;A'!$A:$C,2,FALSE))," - ",(VLOOKUP(T47,'Q&amp;A'!$A:$C,3,FALSE))))</f>
        <v/>
      </c>
      <c r="W47" s="24" t="str">
        <f ca="1">IF(ISNA(VLOOKUP(T47,'Q&amp;A'!$A:$D,4,FALSE)),"",(VLOOKUP(T47,'Q&amp;A'!$A:$D,4,FALSE)))</f>
        <v/>
      </c>
      <c r="X47" s="53" t="s">
        <v>8</v>
      </c>
      <c r="Y47" s="55"/>
      <c r="Z47" s="50"/>
      <c r="AA47" s="46"/>
    </row>
    <row r="48" spans="1:28" s="18" customFormat="1" ht="22.5" customHeight="1" x14ac:dyDescent="0.2">
      <c r="A48" s="15"/>
      <c r="B48" s="7"/>
      <c r="C48" s="40"/>
      <c r="D48" s="41"/>
      <c r="E48" s="42"/>
      <c r="F48" s="210"/>
      <c r="G48" s="151" t="str">
        <f>HLOOKUP($D$2,MultiLanguage!B:S,4,FALSE)</f>
        <v>-Selecteer-</v>
      </c>
      <c r="H48" s="285" t="str">
        <f t="shared" si="6"/>
        <v>-Select-</v>
      </c>
      <c r="I48" s="286"/>
      <c r="J48" s="106" t="str">
        <f>HLOOKUP($D$2,MultiLanguage!B:S,4,FALSE)</f>
        <v>-Selecteer-</v>
      </c>
      <c r="K48" s="98" t="str">
        <f t="shared" si="4"/>
        <v>-Select-</v>
      </c>
      <c r="L48" s="72" t="str">
        <f>HLOOKUP($D$2,MultiLanguage!B:S,4,FALSE)</f>
        <v>-Selecteer-</v>
      </c>
      <c r="M48" s="98" t="str">
        <f t="shared" si="7"/>
        <v>-Select-</v>
      </c>
      <c r="N48" s="257"/>
      <c r="O48" s="258"/>
      <c r="P48" s="36"/>
      <c r="Q48" s="30"/>
      <c r="R48" s="25" t="e">
        <f ca="1">IF(F48="&lt; 2009","&gt;120",(IF($O$23&lt;(121+VLOOKUP(F48,DATE!B:N,3,FALSE)),"&lt;120","&gt;120")))</f>
        <v>#N/A</v>
      </c>
      <c r="S48" s="23" t="e">
        <f ca="1">IF(F48="&lt; 2009","No",(IF($O$23&lt;(121+VLOOKUP(F48,DATE!B:N,3,FALSE)),"Yes","No")))</f>
        <v>#N/A</v>
      </c>
      <c r="T48" s="34" t="e">
        <f t="shared" ca="1" si="5"/>
        <v>#N/A</v>
      </c>
      <c r="U48" s="227" t="str">
        <f>IF(ISNA(VLOOKUP(F48,DATE!B:N,2,FALSE)),"",VLOOKUP(F48,DATE!B:N,2,FALSE))</f>
        <v/>
      </c>
      <c r="V48" s="24" t="str">
        <f ca="1">IF(ISNA(CONCATENATE((VLOOKUP(T48,'Q&amp;A'!$A:$C,2,FALSE))," - ",(VLOOKUP(T48,'Q&amp;A'!$A:$C,3,FALSE)))),"",CONCATENATE((VLOOKUP(T48,'Q&amp;A'!$A:$C,2,FALSE))," - ",(VLOOKUP(T48,'Q&amp;A'!$A:$C,3,FALSE))))</f>
        <v/>
      </c>
      <c r="W48" s="24" t="str">
        <f ca="1">IF(ISNA(VLOOKUP(T48,'Q&amp;A'!$A:$D,4,FALSE)),"",(VLOOKUP(T48,'Q&amp;A'!$A:$D,4,FALSE)))</f>
        <v/>
      </c>
      <c r="X48" s="53" t="s">
        <v>8</v>
      </c>
      <c r="Y48" s="55"/>
      <c r="Z48" s="50"/>
      <c r="AA48" s="46"/>
    </row>
    <row r="49" spans="1:27" s="18" customFormat="1" ht="22.5" customHeight="1" x14ac:dyDescent="0.2">
      <c r="A49" s="15"/>
      <c r="B49" s="7"/>
      <c r="C49" s="40"/>
      <c r="D49" s="41"/>
      <c r="E49" s="42"/>
      <c r="F49" s="210"/>
      <c r="G49" s="151" t="str">
        <f>HLOOKUP($D$2,MultiLanguage!B:S,4,FALSE)</f>
        <v>-Selecteer-</v>
      </c>
      <c r="H49" s="285" t="str">
        <f t="shared" si="6"/>
        <v>-Select-</v>
      </c>
      <c r="I49" s="286"/>
      <c r="J49" s="106" t="str">
        <f>HLOOKUP($D$2,MultiLanguage!B:S,4,FALSE)</f>
        <v>-Selecteer-</v>
      </c>
      <c r="K49" s="98" t="str">
        <f t="shared" si="4"/>
        <v>-Select-</v>
      </c>
      <c r="L49" s="72" t="str">
        <f>HLOOKUP($D$2,MultiLanguage!B:S,4,FALSE)</f>
        <v>-Selecteer-</v>
      </c>
      <c r="M49" s="98" t="str">
        <f t="shared" si="7"/>
        <v>-Select-</v>
      </c>
      <c r="N49" s="257"/>
      <c r="O49" s="258"/>
      <c r="P49" s="37"/>
      <c r="Q49" s="15"/>
      <c r="R49" s="25" t="e">
        <f ca="1">IF(F49="&lt; 2009","&gt;120",(IF($O$23&lt;(121+VLOOKUP(F49,DATE!B:N,3,FALSE)),"&lt;120","&gt;120")))</f>
        <v>#N/A</v>
      </c>
      <c r="S49" s="23" t="e">
        <f ca="1">IF(F49="&lt; 2009","No",(IF($O$23&lt;(121+VLOOKUP(F49,DATE!B:N,3,FALSE)),"Yes","No")))</f>
        <v>#N/A</v>
      </c>
      <c r="T49" s="34" t="e">
        <f t="shared" ca="1" si="5"/>
        <v>#N/A</v>
      </c>
      <c r="U49" s="227" t="str">
        <f>IF(ISNA(VLOOKUP(F49,DATE!B:N,2,FALSE)),"",VLOOKUP(F49,DATE!B:N,2,FALSE))</f>
        <v/>
      </c>
      <c r="V49" s="24" t="str">
        <f ca="1">IF(ISNA(CONCATENATE((VLOOKUP(T49,'Q&amp;A'!$A:$C,2,FALSE))," - ",(VLOOKUP(T49,'Q&amp;A'!$A:$C,3,FALSE)))),"",CONCATENATE((VLOOKUP(T49,'Q&amp;A'!$A:$C,2,FALSE))," - ",(VLOOKUP(T49,'Q&amp;A'!$A:$C,3,FALSE))))</f>
        <v/>
      </c>
      <c r="W49" s="24" t="str">
        <f ca="1">IF(ISNA(VLOOKUP(T49,'Q&amp;A'!$A:$D,4,FALSE)),"",(VLOOKUP(T49,'Q&amp;A'!$A:$D,4,FALSE)))</f>
        <v/>
      </c>
      <c r="X49" s="53" t="s">
        <v>8</v>
      </c>
      <c r="Y49" s="55"/>
      <c r="Z49" s="50"/>
      <c r="AA49" s="46"/>
    </row>
    <row r="50" spans="1:27" s="18" customFormat="1" ht="22.5" customHeight="1" x14ac:dyDescent="0.2">
      <c r="A50" s="15"/>
      <c r="B50" s="7"/>
      <c r="C50" s="40"/>
      <c r="D50" s="41"/>
      <c r="E50" s="42"/>
      <c r="F50" s="210"/>
      <c r="G50" s="151" t="str">
        <f>HLOOKUP($D$2,MultiLanguage!B:S,4,FALSE)</f>
        <v>-Selecteer-</v>
      </c>
      <c r="H50" s="285" t="str">
        <f t="shared" si="6"/>
        <v>-Select-</v>
      </c>
      <c r="I50" s="286"/>
      <c r="J50" s="106" t="str">
        <f>HLOOKUP($D$2,MultiLanguage!B:S,4,FALSE)</f>
        <v>-Selecteer-</v>
      </c>
      <c r="K50" s="98" t="str">
        <f t="shared" si="4"/>
        <v>-Select-</v>
      </c>
      <c r="L50" s="72" t="str">
        <f>HLOOKUP($D$2,MultiLanguage!B:S,4,FALSE)</f>
        <v>-Selecteer-</v>
      </c>
      <c r="M50" s="98" t="str">
        <f t="shared" si="7"/>
        <v>-Select-</v>
      </c>
      <c r="N50" s="257"/>
      <c r="O50" s="258"/>
      <c r="P50" s="36"/>
      <c r="Q50" s="30"/>
      <c r="R50" s="25" t="e">
        <f ca="1">IF(F50="&lt; 2009","&gt;120",(IF($O$23&lt;(121+VLOOKUP(F50,DATE!B:N,3,FALSE)),"&lt;120","&gt;120")))</f>
        <v>#N/A</v>
      </c>
      <c r="S50" s="23" t="e">
        <f ca="1">IF(F50="&lt; 2009","No",(IF($O$23&lt;(121+VLOOKUP(F50,DATE!B:N,3,FALSE)),"Yes","No")))</f>
        <v>#N/A</v>
      </c>
      <c r="T50" s="34" t="e">
        <f t="shared" ca="1" si="5"/>
        <v>#N/A</v>
      </c>
      <c r="U50" s="227" t="str">
        <f>IF(ISNA(VLOOKUP(F50,DATE!B:N,2,FALSE)),"",VLOOKUP(F50,DATE!B:N,2,FALSE))</f>
        <v/>
      </c>
      <c r="V50" s="24" t="str">
        <f ca="1">IF(ISNA(CONCATENATE((VLOOKUP(T50,'Q&amp;A'!$A:$C,2,FALSE))," - ",(VLOOKUP(T50,'Q&amp;A'!$A:$C,3,FALSE)))),"",CONCATENATE((VLOOKUP(T50,'Q&amp;A'!$A:$C,2,FALSE))," - ",(VLOOKUP(T50,'Q&amp;A'!$A:$C,3,FALSE))))</f>
        <v/>
      </c>
      <c r="W50" s="24" t="str">
        <f ca="1">IF(ISNA(VLOOKUP(T50,'Q&amp;A'!$A:$D,4,FALSE)),"",(VLOOKUP(T50,'Q&amp;A'!$A:$D,4,FALSE)))</f>
        <v/>
      </c>
      <c r="X50" s="53" t="s">
        <v>8</v>
      </c>
      <c r="Y50" s="55"/>
      <c r="Z50" s="50"/>
      <c r="AA50" s="46"/>
    </row>
    <row r="51" spans="1:27" s="18" customFormat="1" ht="22.5" customHeight="1" x14ac:dyDescent="0.2">
      <c r="A51" s="15"/>
      <c r="B51" s="7"/>
      <c r="C51" s="40"/>
      <c r="D51" s="41"/>
      <c r="E51" s="42"/>
      <c r="F51" s="210"/>
      <c r="G51" s="151" t="str">
        <f>HLOOKUP($D$2,MultiLanguage!B:S,4,FALSE)</f>
        <v>-Selecteer-</v>
      </c>
      <c r="H51" s="285" t="str">
        <f t="shared" si="6"/>
        <v>-Select-</v>
      </c>
      <c r="I51" s="286"/>
      <c r="J51" s="106" t="str">
        <f>HLOOKUP($D$2,MultiLanguage!B:S,4,FALSE)</f>
        <v>-Selecteer-</v>
      </c>
      <c r="K51" s="98" t="str">
        <f t="shared" si="4"/>
        <v>-Select-</v>
      </c>
      <c r="L51" s="72" t="str">
        <f>HLOOKUP($D$2,MultiLanguage!B:S,4,FALSE)</f>
        <v>-Selecteer-</v>
      </c>
      <c r="M51" s="98" t="str">
        <f t="shared" si="7"/>
        <v>-Select-</v>
      </c>
      <c r="N51" s="257"/>
      <c r="O51" s="258"/>
      <c r="P51" s="36"/>
      <c r="Q51" s="30"/>
      <c r="R51" s="25" t="e">
        <f ca="1">IF(F51="&lt; 2009","&gt;120",(IF($O$23&lt;(121+VLOOKUP(F51,DATE!B:N,3,FALSE)),"&lt;120","&gt;120")))</f>
        <v>#N/A</v>
      </c>
      <c r="S51" s="23" t="e">
        <f ca="1">IF(F51="&lt; 2009","No",(IF($O$23&lt;(121+VLOOKUP(F51,DATE!B:N,3,FALSE)),"Yes","No")))</f>
        <v>#N/A</v>
      </c>
      <c r="T51" s="34" t="e">
        <f t="shared" ca="1" si="5"/>
        <v>#N/A</v>
      </c>
      <c r="U51" s="227" t="str">
        <f>IF(ISNA(VLOOKUP(F51,DATE!B:N,2,FALSE)),"",VLOOKUP(F51,DATE!B:N,2,FALSE))</f>
        <v/>
      </c>
      <c r="V51" s="24" t="str">
        <f ca="1">IF(ISNA(CONCATENATE((VLOOKUP(T51,'Q&amp;A'!$A:$C,2,FALSE))," - ",(VLOOKUP(T51,'Q&amp;A'!$A:$C,3,FALSE)))),"",CONCATENATE((VLOOKUP(T51,'Q&amp;A'!$A:$C,2,FALSE))," - ",(VLOOKUP(T51,'Q&amp;A'!$A:$C,3,FALSE))))</f>
        <v/>
      </c>
      <c r="W51" s="24" t="str">
        <f ca="1">IF(ISNA(VLOOKUP(T51,'Q&amp;A'!$A:$D,4,FALSE)),"",(VLOOKUP(T51,'Q&amp;A'!$A:$D,4,FALSE)))</f>
        <v/>
      </c>
      <c r="X51" s="53" t="s">
        <v>8</v>
      </c>
      <c r="Y51" s="55"/>
      <c r="Z51" s="50"/>
      <c r="AA51" s="46"/>
    </row>
    <row r="52" spans="1:27" s="18" customFormat="1" ht="22.5" customHeight="1" x14ac:dyDescent="0.2">
      <c r="A52" s="15"/>
      <c r="B52" s="7"/>
      <c r="C52" s="40"/>
      <c r="D52" s="41"/>
      <c r="E52" s="42"/>
      <c r="F52" s="210"/>
      <c r="G52" s="151" t="str">
        <f>HLOOKUP($D$2,MultiLanguage!B:S,4,FALSE)</f>
        <v>-Selecteer-</v>
      </c>
      <c r="H52" s="285" t="str">
        <f t="shared" si="6"/>
        <v>-Select-</v>
      </c>
      <c r="I52" s="286"/>
      <c r="J52" s="106" t="str">
        <f>HLOOKUP($D$2,MultiLanguage!B:S,4,FALSE)</f>
        <v>-Selecteer-</v>
      </c>
      <c r="K52" s="98" t="str">
        <f t="shared" si="4"/>
        <v>-Select-</v>
      </c>
      <c r="L52" s="72" t="str">
        <f>HLOOKUP($D$2,MultiLanguage!B:S,4,FALSE)</f>
        <v>-Selecteer-</v>
      </c>
      <c r="M52" s="98" t="str">
        <f t="shared" si="7"/>
        <v>-Select-</v>
      </c>
      <c r="N52" s="257"/>
      <c r="O52" s="258"/>
      <c r="P52" s="36"/>
      <c r="Q52" s="30"/>
      <c r="R52" s="25" t="e">
        <f ca="1">IF(F52="&lt; 2009","&gt;120",(IF($O$23&lt;(121+VLOOKUP(F52,DATE!B:N,3,FALSE)),"&lt;120","&gt;120")))</f>
        <v>#N/A</v>
      </c>
      <c r="S52" s="23" t="e">
        <f ca="1">IF(F52="&lt; 2009","No",(IF($O$23&lt;(121+VLOOKUP(F52,DATE!B:N,3,FALSE)),"Yes","No")))</f>
        <v>#N/A</v>
      </c>
      <c r="T52" s="34" t="e">
        <f t="shared" ca="1" si="5"/>
        <v>#N/A</v>
      </c>
      <c r="U52" s="227" t="str">
        <f>IF(ISNA(VLOOKUP(F52,DATE!B:N,2,FALSE)),"",VLOOKUP(F52,DATE!B:N,2,FALSE))</f>
        <v/>
      </c>
      <c r="V52" s="24" t="str">
        <f ca="1">IF(ISNA(CONCATENATE((VLOOKUP(T52,'Q&amp;A'!$A:$C,2,FALSE))," - ",(VLOOKUP(T52,'Q&amp;A'!$A:$C,3,FALSE)))),"",CONCATENATE((VLOOKUP(T52,'Q&amp;A'!$A:$C,2,FALSE))," - ",(VLOOKUP(T52,'Q&amp;A'!$A:$C,3,FALSE))))</f>
        <v/>
      </c>
      <c r="W52" s="24" t="str">
        <f ca="1">IF(ISNA(VLOOKUP(T52,'Q&amp;A'!$A:$D,4,FALSE)),"",(VLOOKUP(T52,'Q&amp;A'!$A:$D,4,FALSE)))</f>
        <v/>
      </c>
      <c r="X52" s="53" t="s">
        <v>8</v>
      </c>
      <c r="Y52" s="55"/>
      <c r="Z52" s="50"/>
      <c r="AA52" s="46"/>
    </row>
    <row r="53" spans="1:27" s="18" customFormat="1" ht="22.5" customHeight="1" x14ac:dyDescent="0.2">
      <c r="A53" s="15"/>
      <c r="B53" s="7"/>
      <c r="C53" s="40"/>
      <c r="D53" s="41"/>
      <c r="E53" s="42"/>
      <c r="F53" s="210"/>
      <c r="G53" s="151" t="str">
        <f>HLOOKUP($D$2,MultiLanguage!B:S,4,FALSE)</f>
        <v>-Selecteer-</v>
      </c>
      <c r="H53" s="285" t="str">
        <f t="shared" si="6"/>
        <v>-Select-</v>
      </c>
      <c r="I53" s="286"/>
      <c r="J53" s="106" t="str">
        <f>HLOOKUP($D$2,MultiLanguage!B:S,4,FALSE)</f>
        <v>-Selecteer-</v>
      </c>
      <c r="K53" s="98" t="str">
        <f t="shared" si="4"/>
        <v>-Select-</v>
      </c>
      <c r="L53" s="72" t="str">
        <f>HLOOKUP($D$2,MultiLanguage!B:S,4,FALSE)</f>
        <v>-Selecteer-</v>
      </c>
      <c r="M53" s="98" t="str">
        <f t="shared" si="7"/>
        <v>-Select-</v>
      </c>
      <c r="N53" s="257"/>
      <c r="O53" s="258"/>
      <c r="P53" s="37"/>
      <c r="Q53" s="15"/>
      <c r="R53" s="25" t="e">
        <f ca="1">IF(F53="&lt; 2009","&gt;120",(IF($O$23&lt;(121+VLOOKUP(F53,DATE!B:N,3,FALSE)),"&lt;120","&gt;120")))</f>
        <v>#N/A</v>
      </c>
      <c r="S53" s="23" t="e">
        <f ca="1">IF(F53="&lt; 2009","No",(IF($O$23&lt;(121+VLOOKUP(F53,DATE!B:N,3,FALSE)),"Yes","No")))</f>
        <v>#N/A</v>
      </c>
      <c r="T53" s="34" t="e">
        <f t="shared" ca="1" si="5"/>
        <v>#N/A</v>
      </c>
      <c r="U53" s="227" t="str">
        <f>IF(ISNA(VLOOKUP(F53,DATE!B:N,2,FALSE)),"",VLOOKUP(F53,DATE!B:N,2,FALSE))</f>
        <v/>
      </c>
      <c r="V53" s="24" t="str">
        <f ca="1">IF(ISNA(CONCATENATE((VLOOKUP(T53,'Q&amp;A'!$A:$C,2,FALSE))," - ",(VLOOKUP(T53,'Q&amp;A'!$A:$C,3,FALSE)))),"",CONCATENATE((VLOOKUP(T53,'Q&amp;A'!$A:$C,2,FALSE))," - ",(VLOOKUP(T53,'Q&amp;A'!$A:$C,3,FALSE))))</f>
        <v/>
      </c>
      <c r="W53" s="24" t="str">
        <f ca="1">IF(ISNA(VLOOKUP(T53,'Q&amp;A'!$A:$D,4,FALSE)),"",(VLOOKUP(T53,'Q&amp;A'!$A:$D,4,FALSE)))</f>
        <v/>
      </c>
      <c r="X53" s="53" t="s">
        <v>8</v>
      </c>
      <c r="Y53" s="55"/>
      <c r="Z53" s="50"/>
      <c r="AA53" s="46"/>
    </row>
    <row r="54" spans="1:27" s="18" customFormat="1" ht="22.5" customHeight="1" x14ac:dyDescent="0.2">
      <c r="A54" s="15"/>
      <c r="B54" s="7"/>
      <c r="C54" s="40"/>
      <c r="D54" s="41"/>
      <c r="E54" s="42"/>
      <c r="F54" s="210"/>
      <c r="G54" s="151" t="str">
        <f>HLOOKUP($D$2,MultiLanguage!B:S,4,FALSE)</f>
        <v>-Selecteer-</v>
      </c>
      <c r="H54" s="285" t="str">
        <f t="shared" si="6"/>
        <v>-Select-</v>
      </c>
      <c r="I54" s="286"/>
      <c r="J54" s="106" t="str">
        <f>HLOOKUP($D$2,MultiLanguage!B:S,4,FALSE)</f>
        <v>-Selecteer-</v>
      </c>
      <c r="K54" s="98" t="str">
        <f t="shared" si="4"/>
        <v>-Select-</v>
      </c>
      <c r="L54" s="72" t="str">
        <f>HLOOKUP($D$2,MultiLanguage!B:S,4,FALSE)</f>
        <v>-Selecteer-</v>
      </c>
      <c r="M54" s="98" t="str">
        <f t="shared" si="7"/>
        <v>-Select-</v>
      </c>
      <c r="N54" s="257"/>
      <c r="O54" s="258"/>
      <c r="P54" s="36"/>
      <c r="Q54" s="30"/>
      <c r="R54" s="25" t="e">
        <f ca="1">IF(F54="&lt; 2009","&gt;120",(IF($O$23&lt;(121+VLOOKUP(F54,DATE!B:N,3,FALSE)),"&lt;120","&gt;120")))</f>
        <v>#N/A</v>
      </c>
      <c r="S54" s="23" t="e">
        <f ca="1">IF(F54="&lt; 2009","No",(IF($O$23&lt;(121+VLOOKUP(F54,DATE!B:N,3,FALSE)),"Yes","No")))</f>
        <v>#N/A</v>
      </c>
      <c r="T54" s="34" t="e">
        <f t="shared" ca="1" si="5"/>
        <v>#N/A</v>
      </c>
      <c r="U54" s="227" t="str">
        <f>IF(ISNA(VLOOKUP(F54,DATE!B:N,2,FALSE)),"",VLOOKUP(F54,DATE!B:N,2,FALSE))</f>
        <v/>
      </c>
      <c r="V54" s="24" t="str">
        <f ca="1">IF(ISNA(CONCATENATE((VLOOKUP(T54,'Q&amp;A'!$A:$C,2,FALSE))," - ",(VLOOKUP(T54,'Q&amp;A'!$A:$C,3,FALSE)))),"",CONCATENATE((VLOOKUP(T54,'Q&amp;A'!$A:$C,2,FALSE))," - ",(VLOOKUP(T54,'Q&amp;A'!$A:$C,3,FALSE))))</f>
        <v/>
      </c>
      <c r="W54" s="24" t="str">
        <f ca="1">IF(ISNA(VLOOKUP(T54,'Q&amp;A'!$A:$D,4,FALSE)),"",(VLOOKUP(T54,'Q&amp;A'!$A:$D,4,FALSE)))</f>
        <v/>
      </c>
      <c r="X54" s="53" t="s">
        <v>8</v>
      </c>
      <c r="Y54" s="55"/>
      <c r="Z54" s="50"/>
      <c r="AA54" s="46"/>
    </row>
    <row r="55" spans="1:27" s="18" customFormat="1" ht="22.5" customHeight="1" x14ac:dyDescent="0.2">
      <c r="A55" s="15"/>
      <c r="B55" s="7"/>
      <c r="C55" s="40"/>
      <c r="D55" s="41"/>
      <c r="E55" s="42"/>
      <c r="F55" s="210"/>
      <c r="G55" s="151" t="str">
        <f>HLOOKUP($D$2,MultiLanguage!B:S,4,FALSE)</f>
        <v>-Selecteer-</v>
      </c>
      <c r="H55" s="285" t="str">
        <f t="shared" si="6"/>
        <v>-Select-</v>
      </c>
      <c r="I55" s="286"/>
      <c r="J55" s="106" t="str">
        <f>HLOOKUP($D$2,MultiLanguage!B:S,4,FALSE)</f>
        <v>-Selecteer-</v>
      </c>
      <c r="K55" s="98" t="str">
        <f t="shared" si="4"/>
        <v>-Select-</v>
      </c>
      <c r="L55" s="72" t="str">
        <f>HLOOKUP($D$2,MultiLanguage!B:S,4,FALSE)</f>
        <v>-Selecteer-</v>
      </c>
      <c r="M55" s="98" t="str">
        <f t="shared" si="7"/>
        <v>-Select-</v>
      </c>
      <c r="N55" s="257"/>
      <c r="O55" s="258"/>
      <c r="P55" s="36"/>
      <c r="Q55" s="30"/>
      <c r="R55" s="25" t="e">
        <f ca="1">IF(F55="&lt; 2009","&gt;120",(IF($O$23&lt;(121+VLOOKUP(F55,DATE!B:N,3,FALSE)),"&lt;120","&gt;120")))</f>
        <v>#N/A</v>
      </c>
      <c r="S55" s="23" t="e">
        <f ca="1">IF(F55="&lt; 2009","No",(IF($O$23&lt;(121+VLOOKUP(F55,DATE!B:N,3,FALSE)),"Yes","No")))</f>
        <v>#N/A</v>
      </c>
      <c r="T55" s="34" t="e">
        <f t="shared" ca="1" si="5"/>
        <v>#N/A</v>
      </c>
      <c r="U55" s="227" t="str">
        <f>IF(ISNA(VLOOKUP(F55,DATE!B:N,2,FALSE)),"",VLOOKUP(F55,DATE!B:N,2,FALSE))</f>
        <v/>
      </c>
      <c r="V55" s="24" t="str">
        <f ca="1">IF(ISNA(CONCATENATE((VLOOKUP(T55,'Q&amp;A'!$A:$C,2,FALSE))," - ",(VLOOKUP(T55,'Q&amp;A'!$A:$C,3,FALSE)))),"",CONCATENATE((VLOOKUP(T55,'Q&amp;A'!$A:$C,2,FALSE))," - ",(VLOOKUP(T55,'Q&amp;A'!$A:$C,3,FALSE))))</f>
        <v/>
      </c>
      <c r="W55" s="24" t="str">
        <f ca="1">IF(ISNA(VLOOKUP(T55,'Q&amp;A'!$A:$D,4,FALSE)),"",(VLOOKUP(T55,'Q&amp;A'!$A:$D,4,FALSE)))</f>
        <v/>
      </c>
      <c r="X55" s="53" t="s">
        <v>8</v>
      </c>
      <c r="Y55" s="55"/>
      <c r="Z55" s="50"/>
      <c r="AA55" s="46"/>
    </row>
    <row r="56" spans="1:27" s="18" customFormat="1" ht="22.5" customHeight="1" x14ac:dyDescent="0.2">
      <c r="A56" s="15"/>
      <c r="B56" s="7"/>
      <c r="C56" s="40"/>
      <c r="D56" s="41"/>
      <c r="E56" s="42"/>
      <c r="F56" s="210"/>
      <c r="G56" s="151" t="str">
        <f>HLOOKUP($D$2,MultiLanguage!B:S,4,FALSE)</f>
        <v>-Selecteer-</v>
      </c>
      <c r="H56" s="285" t="str">
        <f t="shared" si="6"/>
        <v>-Select-</v>
      </c>
      <c r="I56" s="286"/>
      <c r="J56" s="106" t="str">
        <f>HLOOKUP($D$2,MultiLanguage!B:S,4,FALSE)</f>
        <v>-Selecteer-</v>
      </c>
      <c r="K56" s="98" t="str">
        <f t="shared" si="4"/>
        <v>-Select-</v>
      </c>
      <c r="L56" s="72" t="str">
        <f>HLOOKUP($D$2,MultiLanguage!B:S,4,FALSE)</f>
        <v>-Selecteer-</v>
      </c>
      <c r="M56" s="98" t="str">
        <f t="shared" si="7"/>
        <v>-Select-</v>
      </c>
      <c r="N56" s="257"/>
      <c r="O56" s="258"/>
      <c r="P56" s="36"/>
      <c r="Q56" s="30"/>
      <c r="R56" s="25" t="e">
        <f ca="1">IF(F56="&lt; 2009","&gt;120",(IF($O$23&lt;(121+VLOOKUP(F56,DATE!B:N,3,FALSE)),"&lt;120","&gt;120")))</f>
        <v>#N/A</v>
      </c>
      <c r="S56" s="23" t="e">
        <f ca="1">IF(F56="&lt; 2009","No",(IF($O$23&lt;(121+VLOOKUP(F56,DATE!B:N,3,FALSE)),"Yes","No")))</f>
        <v>#N/A</v>
      </c>
      <c r="T56" s="34" t="e">
        <f t="shared" ca="1" si="5"/>
        <v>#N/A</v>
      </c>
      <c r="U56" s="227" t="str">
        <f>IF(ISNA(VLOOKUP(F56,DATE!B:N,2,FALSE)),"",VLOOKUP(F56,DATE!B:N,2,FALSE))</f>
        <v/>
      </c>
      <c r="V56" s="24" t="str">
        <f ca="1">IF(ISNA(CONCATENATE((VLOOKUP(T56,'Q&amp;A'!$A:$C,2,FALSE))," - ",(VLOOKUP(T56,'Q&amp;A'!$A:$C,3,FALSE)))),"",CONCATENATE((VLOOKUP(T56,'Q&amp;A'!$A:$C,2,FALSE))," - ",(VLOOKUP(T56,'Q&amp;A'!$A:$C,3,FALSE))))</f>
        <v/>
      </c>
      <c r="W56" s="24" t="str">
        <f ca="1">IF(ISNA(VLOOKUP(T56,'Q&amp;A'!$A:$D,4,FALSE)),"",(VLOOKUP(T56,'Q&amp;A'!$A:$D,4,FALSE)))</f>
        <v/>
      </c>
      <c r="X56" s="53" t="s">
        <v>8</v>
      </c>
      <c r="Y56" s="55"/>
      <c r="Z56" s="50"/>
      <c r="AA56" s="46"/>
    </row>
    <row r="57" spans="1:27" s="18" customFormat="1" ht="22.5" customHeight="1" x14ac:dyDescent="0.2">
      <c r="A57" s="15"/>
      <c r="B57" s="7"/>
      <c r="C57" s="40"/>
      <c r="D57" s="41"/>
      <c r="E57" s="42"/>
      <c r="F57" s="210"/>
      <c r="G57" s="151" t="str">
        <f>HLOOKUP($D$2,MultiLanguage!B:S,4,FALSE)</f>
        <v>-Selecteer-</v>
      </c>
      <c r="H57" s="285" t="str">
        <f t="shared" si="6"/>
        <v>-Select-</v>
      </c>
      <c r="I57" s="286"/>
      <c r="J57" s="106" t="str">
        <f>HLOOKUP($D$2,MultiLanguage!B:S,4,FALSE)</f>
        <v>-Selecteer-</v>
      </c>
      <c r="K57" s="98" t="str">
        <f t="shared" si="4"/>
        <v>-Select-</v>
      </c>
      <c r="L57" s="72" t="str">
        <f>HLOOKUP($D$2,MultiLanguage!B:S,4,FALSE)</f>
        <v>-Selecteer-</v>
      </c>
      <c r="M57" s="98" t="str">
        <f t="shared" si="7"/>
        <v>-Select-</v>
      </c>
      <c r="N57" s="257"/>
      <c r="O57" s="258"/>
      <c r="P57" s="37"/>
      <c r="Q57" s="15"/>
      <c r="R57" s="25" t="e">
        <f ca="1">IF(F57="&lt; 2009","&gt;120",(IF($O$23&lt;(121+VLOOKUP(F57,DATE!B:N,3,FALSE)),"&lt;120","&gt;120")))</f>
        <v>#N/A</v>
      </c>
      <c r="S57" s="23" t="e">
        <f ca="1">IF(F57="&lt; 2009","No",(IF($O$23&lt;(121+VLOOKUP(F57,DATE!B:N,3,FALSE)),"Yes","No")))</f>
        <v>#N/A</v>
      </c>
      <c r="T57" s="34" t="e">
        <f t="shared" ca="1" si="5"/>
        <v>#N/A</v>
      </c>
      <c r="U57" s="227" t="str">
        <f>IF(ISNA(VLOOKUP(F57,DATE!B:N,2,FALSE)),"",VLOOKUP(F57,DATE!B:N,2,FALSE))</f>
        <v/>
      </c>
      <c r="V57" s="24" t="str">
        <f ca="1">IF(ISNA(CONCATENATE((VLOOKUP(T57,'Q&amp;A'!$A:$C,2,FALSE))," - ",(VLOOKUP(T57,'Q&amp;A'!$A:$C,3,FALSE)))),"",CONCATENATE((VLOOKUP(T57,'Q&amp;A'!$A:$C,2,FALSE))," - ",(VLOOKUP(T57,'Q&amp;A'!$A:$C,3,FALSE))))</f>
        <v/>
      </c>
      <c r="W57" s="24" t="str">
        <f ca="1">IF(ISNA(VLOOKUP(T57,'Q&amp;A'!$A:$D,4,FALSE)),"",(VLOOKUP(T57,'Q&amp;A'!$A:$D,4,FALSE)))</f>
        <v/>
      </c>
      <c r="X57" s="53" t="s">
        <v>8</v>
      </c>
      <c r="Y57" s="55"/>
      <c r="Z57" s="50"/>
      <c r="AA57" s="46"/>
    </row>
    <row r="58" spans="1:27" s="18" customFormat="1" ht="22.5" customHeight="1" x14ac:dyDescent="0.2">
      <c r="A58" s="15"/>
      <c r="B58" s="7"/>
      <c r="C58" s="40"/>
      <c r="D58" s="41"/>
      <c r="E58" s="42"/>
      <c r="F58" s="210"/>
      <c r="G58" s="151" t="str">
        <f>HLOOKUP($D$2,MultiLanguage!B:S,4,FALSE)</f>
        <v>-Selecteer-</v>
      </c>
      <c r="H58" s="285" t="str">
        <f t="shared" si="6"/>
        <v>-Select-</v>
      </c>
      <c r="I58" s="286"/>
      <c r="J58" s="106" t="str">
        <f>HLOOKUP($D$2,MultiLanguage!B:S,4,FALSE)</f>
        <v>-Selecteer-</v>
      </c>
      <c r="K58" s="98" t="str">
        <f t="shared" si="4"/>
        <v>-Select-</v>
      </c>
      <c r="L58" s="72" t="str">
        <f>HLOOKUP($D$2,MultiLanguage!B:S,4,FALSE)</f>
        <v>-Selecteer-</v>
      </c>
      <c r="M58" s="98" t="str">
        <f t="shared" si="7"/>
        <v>-Select-</v>
      </c>
      <c r="N58" s="257"/>
      <c r="O58" s="258"/>
      <c r="P58" s="36"/>
      <c r="Q58" s="30"/>
      <c r="R58" s="25" t="e">
        <f ca="1">IF(F58="&lt; 2009","&gt;120",(IF($O$23&lt;(121+VLOOKUP(F58,DATE!B:N,3,FALSE)),"&lt;120","&gt;120")))</f>
        <v>#N/A</v>
      </c>
      <c r="S58" s="23" t="e">
        <f ca="1">IF(F58="&lt; 2009","No",(IF($O$23&lt;(121+VLOOKUP(F58,DATE!B:N,3,FALSE)),"Yes","No")))</f>
        <v>#N/A</v>
      </c>
      <c r="T58" s="34" t="e">
        <f t="shared" ca="1" si="5"/>
        <v>#N/A</v>
      </c>
      <c r="U58" s="227" t="str">
        <f>IF(ISNA(VLOOKUP(F58,DATE!B:N,2,FALSE)),"",VLOOKUP(F58,DATE!B:N,2,FALSE))</f>
        <v/>
      </c>
      <c r="V58" s="24" t="str">
        <f ca="1">IF(ISNA(CONCATENATE((VLOOKUP(T58,'Q&amp;A'!$A:$C,2,FALSE))," - ",(VLOOKUP(T58,'Q&amp;A'!$A:$C,3,FALSE)))),"",CONCATENATE((VLOOKUP(T58,'Q&amp;A'!$A:$C,2,FALSE))," - ",(VLOOKUP(T58,'Q&amp;A'!$A:$C,3,FALSE))))</f>
        <v/>
      </c>
      <c r="W58" s="24" t="str">
        <f ca="1">IF(ISNA(VLOOKUP(T58,'Q&amp;A'!$A:$D,4,FALSE)),"",(VLOOKUP(T58,'Q&amp;A'!$A:$D,4,FALSE)))</f>
        <v/>
      </c>
      <c r="X58" s="53" t="s">
        <v>8</v>
      </c>
      <c r="Y58" s="55"/>
      <c r="Z58" s="50"/>
      <c r="AA58" s="46"/>
    </row>
    <row r="59" spans="1:27" s="18" customFormat="1" ht="22.5" customHeight="1" x14ac:dyDescent="0.2">
      <c r="A59" s="15"/>
      <c r="B59" s="7"/>
      <c r="C59" s="40"/>
      <c r="D59" s="41"/>
      <c r="E59" s="42"/>
      <c r="F59" s="210"/>
      <c r="G59" s="151" t="str">
        <f>HLOOKUP($D$2,MultiLanguage!B:S,4,FALSE)</f>
        <v>-Selecteer-</v>
      </c>
      <c r="H59" s="285" t="str">
        <f t="shared" si="6"/>
        <v>-Select-</v>
      </c>
      <c r="I59" s="286"/>
      <c r="J59" s="106" t="str">
        <f>HLOOKUP($D$2,MultiLanguage!B:S,4,FALSE)</f>
        <v>-Selecteer-</v>
      </c>
      <c r="K59" s="98" t="str">
        <f t="shared" si="4"/>
        <v>-Select-</v>
      </c>
      <c r="L59" s="72" t="str">
        <f>HLOOKUP($D$2,MultiLanguage!B:S,4,FALSE)</f>
        <v>-Selecteer-</v>
      </c>
      <c r="M59" s="98" t="str">
        <f t="shared" si="7"/>
        <v>-Select-</v>
      </c>
      <c r="N59" s="257"/>
      <c r="O59" s="258"/>
      <c r="P59" s="36"/>
      <c r="Q59" s="30"/>
      <c r="R59" s="25" t="e">
        <f ca="1">IF(F59="&lt; 2009","&gt;120",(IF($O$23&lt;(121+VLOOKUP(F59,DATE!B:N,3,FALSE)),"&lt;120","&gt;120")))</f>
        <v>#N/A</v>
      </c>
      <c r="S59" s="23" t="e">
        <f ca="1">IF(F59="&lt; 2009","No",(IF($O$23&lt;(121+VLOOKUP(F59,DATE!B:N,3,FALSE)),"Yes","No")))</f>
        <v>#N/A</v>
      </c>
      <c r="T59" s="34" t="e">
        <f t="shared" ca="1" si="5"/>
        <v>#N/A</v>
      </c>
      <c r="U59" s="227" t="str">
        <f>IF(ISNA(VLOOKUP(F59,DATE!B:N,2,FALSE)),"",VLOOKUP(F59,DATE!B:N,2,FALSE))</f>
        <v/>
      </c>
      <c r="V59" s="24" t="str">
        <f ca="1">IF(ISNA(CONCATENATE((VLOOKUP(T59,'Q&amp;A'!$A:$C,2,FALSE))," - ",(VLOOKUP(T59,'Q&amp;A'!$A:$C,3,FALSE)))),"",CONCATENATE((VLOOKUP(T59,'Q&amp;A'!$A:$C,2,FALSE))," - ",(VLOOKUP(T59,'Q&amp;A'!$A:$C,3,FALSE))))</f>
        <v/>
      </c>
      <c r="W59" s="24" t="str">
        <f ca="1">IF(ISNA(VLOOKUP(T59,'Q&amp;A'!$A:$D,4,FALSE)),"",(VLOOKUP(T59,'Q&amp;A'!$A:$D,4,FALSE)))</f>
        <v/>
      </c>
      <c r="X59" s="53" t="s">
        <v>8</v>
      </c>
      <c r="Y59" s="55"/>
      <c r="Z59" s="50"/>
      <c r="AA59" s="46"/>
    </row>
    <row r="60" spans="1:27" s="18" customFormat="1" ht="22.5" customHeight="1" x14ac:dyDescent="0.2">
      <c r="A60" s="15"/>
      <c r="B60" s="7"/>
      <c r="C60" s="40"/>
      <c r="D60" s="41"/>
      <c r="E60" s="42"/>
      <c r="F60" s="210"/>
      <c r="G60" s="151" t="str">
        <f>HLOOKUP($D$2,MultiLanguage!B:S,4,FALSE)</f>
        <v>-Selecteer-</v>
      </c>
      <c r="H60" s="285" t="str">
        <f t="shared" si="6"/>
        <v>-Select-</v>
      </c>
      <c r="I60" s="286"/>
      <c r="J60" s="106" t="str">
        <f>HLOOKUP($D$2,MultiLanguage!B:S,4,FALSE)</f>
        <v>-Selecteer-</v>
      </c>
      <c r="K60" s="98" t="str">
        <f t="shared" si="4"/>
        <v>-Select-</v>
      </c>
      <c r="L60" s="72" t="str">
        <f>HLOOKUP($D$2,MultiLanguage!B:S,4,FALSE)</f>
        <v>-Selecteer-</v>
      </c>
      <c r="M60" s="98" t="str">
        <f t="shared" si="7"/>
        <v>-Select-</v>
      </c>
      <c r="N60" s="257"/>
      <c r="O60" s="258"/>
      <c r="P60" s="36"/>
      <c r="Q60" s="30"/>
      <c r="R60" s="25" t="e">
        <f ca="1">IF(F60="&lt; 2009","&gt;120",(IF($O$23&lt;(121+VLOOKUP(F60,DATE!B:N,3,FALSE)),"&lt;120","&gt;120")))</f>
        <v>#N/A</v>
      </c>
      <c r="S60" s="23" t="e">
        <f ca="1">IF(F60="&lt; 2009","No",(IF($O$23&lt;(121+VLOOKUP(F60,DATE!B:N,3,FALSE)),"Yes","No")))</f>
        <v>#N/A</v>
      </c>
      <c r="T60" s="34" t="e">
        <f t="shared" ca="1" si="5"/>
        <v>#N/A</v>
      </c>
      <c r="U60" s="227" t="str">
        <f>IF(ISNA(VLOOKUP(F60,DATE!B:N,2,FALSE)),"",VLOOKUP(F60,DATE!B:N,2,FALSE))</f>
        <v/>
      </c>
      <c r="V60" s="24" t="str">
        <f ca="1">IF(ISNA(CONCATENATE((VLOOKUP(T60,'Q&amp;A'!$A:$C,2,FALSE))," - ",(VLOOKUP(T60,'Q&amp;A'!$A:$C,3,FALSE)))),"",CONCATENATE((VLOOKUP(T60,'Q&amp;A'!$A:$C,2,FALSE))," - ",(VLOOKUP(T60,'Q&amp;A'!$A:$C,3,FALSE))))</f>
        <v/>
      </c>
      <c r="W60" s="24" t="str">
        <f ca="1">IF(ISNA(VLOOKUP(T60,'Q&amp;A'!$A:$D,4,FALSE)),"",(VLOOKUP(T60,'Q&amp;A'!$A:$D,4,FALSE)))</f>
        <v/>
      </c>
      <c r="X60" s="53" t="s">
        <v>8</v>
      </c>
      <c r="Y60" s="55"/>
      <c r="Z60" s="50"/>
      <c r="AA60" s="46"/>
    </row>
    <row r="61" spans="1:27" s="18" customFormat="1" ht="22.5" customHeight="1" x14ac:dyDescent="0.2">
      <c r="A61" s="15"/>
      <c r="B61" s="7"/>
      <c r="C61" s="40"/>
      <c r="D61" s="41"/>
      <c r="E61" s="42"/>
      <c r="F61" s="210"/>
      <c r="G61" s="151" t="str">
        <f>HLOOKUP($D$2,MultiLanguage!B:S,4,FALSE)</f>
        <v>-Selecteer-</v>
      </c>
      <c r="H61" s="285" t="str">
        <f t="shared" si="6"/>
        <v>-Select-</v>
      </c>
      <c r="I61" s="286"/>
      <c r="J61" s="106" t="str">
        <f>HLOOKUP($D$2,MultiLanguage!B:S,4,FALSE)</f>
        <v>-Selecteer-</v>
      </c>
      <c r="K61" s="98" t="str">
        <f t="shared" si="4"/>
        <v>-Select-</v>
      </c>
      <c r="L61" s="72" t="str">
        <f>HLOOKUP($D$2,MultiLanguage!B:S,4,FALSE)</f>
        <v>-Selecteer-</v>
      </c>
      <c r="M61" s="98" t="str">
        <f t="shared" si="7"/>
        <v>-Select-</v>
      </c>
      <c r="N61" s="257"/>
      <c r="O61" s="258"/>
      <c r="P61" s="36"/>
      <c r="Q61" s="30"/>
      <c r="R61" s="25" t="e">
        <f ca="1">IF(F61="&lt; 2009","&gt;120",(IF($O$23&lt;(121+VLOOKUP(F61,DATE!B:N,3,FALSE)),"&lt;120","&gt;120")))</f>
        <v>#N/A</v>
      </c>
      <c r="S61" s="23" t="e">
        <f ca="1">IF(F61="&lt; 2009","No",(IF($O$23&lt;(121+VLOOKUP(F61,DATE!B:N,3,FALSE)),"Yes","No")))</f>
        <v>#N/A</v>
      </c>
      <c r="T61" s="34" t="e">
        <f t="shared" ca="1" si="5"/>
        <v>#N/A</v>
      </c>
      <c r="U61" s="227" t="str">
        <f>IF(ISNA(VLOOKUP(F61,DATE!B:N,2,FALSE)),"",VLOOKUP(F61,DATE!B:N,2,FALSE))</f>
        <v/>
      </c>
      <c r="V61" s="24" t="str">
        <f ca="1">IF(ISNA(CONCATENATE((VLOOKUP(T61,'Q&amp;A'!$A:$C,2,FALSE))," - ",(VLOOKUP(T61,'Q&amp;A'!$A:$C,3,FALSE)))),"",CONCATENATE((VLOOKUP(T61,'Q&amp;A'!$A:$C,2,FALSE))," - ",(VLOOKUP(T61,'Q&amp;A'!$A:$C,3,FALSE))))</f>
        <v/>
      </c>
      <c r="W61" s="24" t="str">
        <f ca="1">IF(ISNA(VLOOKUP(T61,'Q&amp;A'!$A:$D,4,FALSE)),"",(VLOOKUP(T61,'Q&amp;A'!$A:$D,4,FALSE)))</f>
        <v/>
      </c>
      <c r="X61" s="53" t="s">
        <v>8</v>
      </c>
      <c r="Y61" s="55"/>
      <c r="Z61" s="50"/>
      <c r="AA61" s="46"/>
    </row>
    <row r="62" spans="1:27" s="18" customFormat="1" ht="22.5" customHeight="1" thickBot="1" x14ac:dyDescent="0.25">
      <c r="A62" s="15"/>
      <c r="B62" s="7"/>
      <c r="C62" s="43"/>
      <c r="D62" s="44"/>
      <c r="E62" s="45"/>
      <c r="F62" s="211"/>
      <c r="G62" s="152" t="str">
        <f>HLOOKUP($D$2,MultiLanguage!B:S,4,FALSE)</f>
        <v>-Selecteer-</v>
      </c>
      <c r="H62" s="297" t="str">
        <f t="shared" si="6"/>
        <v>-Select-</v>
      </c>
      <c r="I62" s="304"/>
      <c r="J62" s="73" t="str">
        <f>HLOOKUP($D$2,MultiLanguage!B:S,4,FALSE)</f>
        <v>-Selecteer-</v>
      </c>
      <c r="K62" s="99" t="str">
        <f t="shared" si="4"/>
        <v>-Select-</v>
      </c>
      <c r="L62" s="73" t="str">
        <f>HLOOKUP($D$2,MultiLanguage!B:S,4,FALSE)</f>
        <v>-Selecteer-</v>
      </c>
      <c r="M62" s="99" t="str">
        <f t="shared" si="7"/>
        <v>-Select-</v>
      </c>
      <c r="N62" s="259"/>
      <c r="O62" s="260"/>
      <c r="P62" s="38"/>
      <c r="Q62" s="30"/>
      <c r="R62" s="26" t="e">
        <f ca="1">IF(F62="&lt; 2009","&gt;120",(IF($O$23&lt;(121+VLOOKUP(F62,DATE!B:N,3,FALSE)),"&lt;120","&gt;120")))</f>
        <v>#N/A</v>
      </c>
      <c r="S62" s="27" t="e">
        <f ca="1">IF(F62="&lt; 2009","No",(IF($O$23&lt;(121+VLOOKUP(F62,DATE!B:N,3,FALSE)),"Yes","No")))</f>
        <v>#N/A</v>
      </c>
      <c r="T62" s="35" t="e">
        <f t="shared" ca="1" si="5"/>
        <v>#N/A</v>
      </c>
      <c r="U62" s="228" t="str">
        <f>IF(ISNA(VLOOKUP(F62,DATE!B:N,2,FALSE)),"",VLOOKUP(F62,DATE!B:N,2,FALSE))</f>
        <v/>
      </c>
      <c r="V62" s="28" t="str">
        <f ca="1">IF(ISNA(CONCATENATE((VLOOKUP(T62,'Q&amp;A'!$A:$C,2,FALSE))," - ",(VLOOKUP(T62,'Q&amp;A'!$A:$C,3,FALSE)))),"",CONCATENATE((VLOOKUP(T62,'Q&amp;A'!$A:$C,2,FALSE))," - ",(VLOOKUP(T62,'Q&amp;A'!$A:$C,3,FALSE))))</f>
        <v/>
      </c>
      <c r="W62" s="28" t="str">
        <f ca="1">IF(ISNA(VLOOKUP(T62,'Q&amp;A'!$A:$D,4,FALSE)),"",(VLOOKUP(T62,'Q&amp;A'!$A:$D,4,FALSE)))</f>
        <v/>
      </c>
      <c r="X62" s="54" t="s">
        <v>8</v>
      </c>
      <c r="Y62" s="56"/>
      <c r="Z62" s="51"/>
      <c r="AA62" s="47"/>
    </row>
    <row r="64" spans="1:27" ht="12" hidden="1" customHeight="1" thickBot="1" x14ac:dyDescent="0.2"/>
    <row r="65" ht="12" hidden="1" customHeight="1" thickBot="1" x14ac:dyDescent="0.2"/>
    <row r="66" ht="12" hidden="1" customHeight="1" thickBot="1" x14ac:dyDescent="0.2"/>
    <row r="67" ht="12" hidden="1" customHeight="1" thickBot="1" x14ac:dyDescent="0.2"/>
    <row r="68" ht="12" hidden="1" customHeight="1" thickBot="1" x14ac:dyDescent="0.2"/>
    <row r="69" ht="12" hidden="1" customHeight="1" thickBot="1" x14ac:dyDescent="0.2"/>
    <row r="70" ht="12" hidden="1" customHeight="1" thickBot="1" x14ac:dyDescent="0.2"/>
    <row r="71" ht="12" hidden="1" customHeight="1" thickBot="1" x14ac:dyDescent="0.2"/>
    <row r="72" ht="12" hidden="1" customHeight="1" thickBot="1" x14ac:dyDescent="0.2"/>
    <row r="73" ht="12" hidden="1" customHeight="1" thickBot="1" x14ac:dyDescent="0.2"/>
    <row r="74" ht="12" hidden="1" customHeight="1" thickBot="1" x14ac:dyDescent="0.2"/>
    <row r="75" ht="12" hidden="1" customHeight="1" thickBot="1" x14ac:dyDescent="0.2"/>
    <row r="76" ht="12" hidden="1" customHeight="1" thickBot="1" x14ac:dyDescent="0.2"/>
    <row r="77" ht="12" hidden="1" customHeight="1" thickBot="1" x14ac:dyDescent="0.2"/>
    <row r="78" ht="12" hidden="1" customHeight="1" thickBot="1" x14ac:dyDescent="0.2"/>
    <row r="79" ht="12" hidden="1" customHeight="1" thickBot="1" x14ac:dyDescent="0.2"/>
    <row r="80" ht="12" hidden="1" customHeight="1" thickBot="1" x14ac:dyDescent="0.2"/>
    <row r="81" ht="12" hidden="1" customHeight="1" thickBot="1" x14ac:dyDescent="0.2"/>
    <row r="82" ht="12" hidden="1" customHeight="1" thickBot="1" x14ac:dyDescent="0.2"/>
    <row r="83" ht="12" hidden="1" customHeight="1" thickBot="1" x14ac:dyDescent="0.2"/>
    <row r="84" ht="12" hidden="1" customHeight="1" thickBot="1" x14ac:dyDescent="0.2"/>
    <row r="85" ht="12" hidden="1" customHeight="1" thickBot="1" x14ac:dyDescent="0.2"/>
    <row r="86" ht="12" hidden="1" customHeight="1" thickBot="1" x14ac:dyDescent="0.2"/>
    <row r="87" ht="12" hidden="1" customHeight="1" thickBot="1" x14ac:dyDescent="0.2"/>
    <row r="88" ht="12" hidden="1" customHeight="1" thickBot="1" x14ac:dyDescent="0.2"/>
    <row r="89" ht="12" hidden="1" customHeight="1" thickBot="1" x14ac:dyDescent="0.2"/>
    <row r="90" ht="12" hidden="1" customHeight="1" thickBot="1" x14ac:dyDescent="0.2"/>
    <row r="91" ht="12" hidden="1" customHeight="1" thickBot="1" x14ac:dyDescent="0.2"/>
    <row r="92" ht="12" hidden="1" customHeight="1" thickBot="1" x14ac:dyDescent="0.2"/>
    <row r="93" ht="12" hidden="1" customHeight="1" thickBot="1" x14ac:dyDescent="0.2"/>
    <row r="94" ht="12" hidden="1" customHeight="1" thickBot="1" x14ac:dyDescent="0.2"/>
    <row r="95" ht="12" hidden="1" customHeight="1" thickBot="1" x14ac:dyDescent="0.2"/>
    <row r="96" ht="12" hidden="1" customHeight="1" thickBot="1" x14ac:dyDescent="0.2"/>
    <row r="97" ht="12" hidden="1" customHeight="1" thickBot="1" x14ac:dyDescent="0.2"/>
    <row r="98" ht="12" hidden="1" customHeight="1" thickBot="1" x14ac:dyDescent="0.2"/>
    <row r="99" ht="12" hidden="1" customHeight="1" thickBot="1" x14ac:dyDescent="0.2"/>
    <row r="100" ht="12" hidden="1" customHeight="1" thickBot="1" x14ac:dyDescent="0.2"/>
    <row r="101" ht="12" hidden="1" customHeight="1" thickBot="1" x14ac:dyDescent="0.2"/>
    <row r="102" ht="12" hidden="1" customHeight="1" thickBot="1" x14ac:dyDescent="0.2"/>
    <row r="103" ht="12" hidden="1" customHeight="1" thickBot="1" x14ac:dyDescent="0.2"/>
    <row r="104" ht="12" hidden="1" customHeight="1" thickBot="1" x14ac:dyDescent="0.2"/>
    <row r="105" ht="17.25" hidden="1" customHeight="1" thickBot="1" x14ac:dyDescent="0.2"/>
    <row r="106" ht="12" hidden="1" customHeight="1" thickBot="1" x14ac:dyDescent="0.2"/>
    <row r="107" ht="12" hidden="1" customHeight="1" thickBot="1" x14ac:dyDescent="0.2"/>
    <row r="108" ht="12" hidden="1" customHeight="1" thickBot="1" x14ac:dyDescent="0.2"/>
    <row r="109" ht="12" hidden="1" customHeight="1" thickBot="1" x14ac:dyDescent="0.2"/>
    <row r="110" ht="12" hidden="1" customHeight="1" thickBot="1" x14ac:dyDescent="0.2"/>
    <row r="111" ht="12" hidden="1" customHeight="1" thickBot="1" x14ac:dyDescent="0.2"/>
    <row r="112" ht="12" hidden="1" customHeight="1" thickBot="1" x14ac:dyDescent="0.2"/>
    <row r="113" spans="3:9" ht="12" hidden="1" customHeight="1" thickBot="1" x14ac:dyDescent="0.2"/>
    <row r="114" spans="3:9" ht="12" hidden="1" customHeight="1" thickBot="1" x14ac:dyDescent="0.2"/>
    <row r="115" spans="3:9" ht="12" hidden="1" customHeight="1" thickBot="1" x14ac:dyDescent="0.2"/>
    <row r="116" spans="3:9" ht="12" hidden="1" customHeight="1" thickBot="1" x14ac:dyDescent="0.2"/>
    <row r="117" spans="3:9" ht="12" hidden="1" customHeight="1" thickBot="1" x14ac:dyDescent="0.2"/>
    <row r="118" spans="3:9" ht="15" hidden="1" customHeight="1" thickBot="1" x14ac:dyDescent="0.2">
      <c r="F118" s="300" t="s">
        <v>217</v>
      </c>
      <c r="G118" s="301"/>
      <c r="H118" s="71"/>
    </row>
    <row r="119" spans="3:9" ht="12" hidden="1" customHeight="1" thickBot="1" x14ac:dyDescent="0.2">
      <c r="H119" s="71"/>
    </row>
    <row r="120" spans="3:9" ht="24" hidden="1" customHeight="1" thickBot="1" x14ac:dyDescent="0.2">
      <c r="C120" s="81" t="str">
        <f>HLOOKUP(D2,MultiLanguage!B:L,3,FALSE)</f>
        <v>Retour reden</v>
      </c>
      <c r="D120" s="75" t="s">
        <v>172</v>
      </c>
      <c r="E120" s="69" t="s">
        <v>173</v>
      </c>
      <c r="F120" s="83" t="s">
        <v>119</v>
      </c>
      <c r="G120" s="79" t="s">
        <v>17</v>
      </c>
      <c r="H120" s="77" t="s">
        <v>172</v>
      </c>
      <c r="I120" s="74" t="s">
        <v>174</v>
      </c>
    </row>
    <row r="121" spans="3:9" ht="12" hidden="1" customHeight="1" thickBot="1" x14ac:dyDescent="0.2">
      <c r="C121" s="82" t="str">
        <f>HLOOKUP(D2,MultiLanguage!B:S,4,FALSE)</f>
        <v>-Selecteer-</v>
      </c>
      <c r="D121" s="76" t="s">
        <v>58</v>
      </c>
      <c r="E121" s="70" t="str">
        <f>HLOOKUP(D2,MultiLanguage!B:S,18,FALSE)</f>
        <v>-Selecteer-</v>
      </c>
      <c r="F121" s="203" t="s">
        <v>121</v>
      </c>
      <c r="G121" s="80" t="s">
        <v>58</v>
      </c>
      <c r="H121" s="77" t="s">
        <v>58</v>
      </c>
      <c r="I121" s="202" t="s">
        <v>175</v>
      </c>
    </row>
    <row r="122" spans="3:9" ht="12" hidden="1" customHeight="1" thickBot="1" x14ac:dyDescent="0.2">
      <c r="C122" s="82" t="str">
        <f>HLOOKUP(D2,MultiLanguage!B:S,5,FALSE)</f>
        <v>Product is Defect</v>
      </c>
      <c r="D122" s="76" t="s">
        <v>7</v>
      </c>
      <c r="E122" s="70" t="str">
        <f>HLOOKUP(D2,MultiLanguage!B:S,19,FALSE)</f>
        <v>Ja</v>
      </c>
      <c r="F122" s="203" t="s">
        <v>120</v>
      </c>
      <c r="G122" s="80" t="s">
        <v>18</v>
      </c>
      <c r="H122" s="77" t="s">
        <v>7</v>
      </c>
      <c r="I122" s="202" t="s">
        <v>202</v>
      </c>
    </row>
    <row r="123" spans="3:9" ht="12" hidden="1" customHeight="1" thickBot="1" x14ac:dyDescent="0.2">
      <c r="C123" s="82" t="str">
        <f>HLOOKUP(D2,MultiLanguage!B:S,6,FALSE)</f>
        <v>Verkeerd product ontvangen</v>
      </c>
      <c r="D123" s="76" t="s">
        <v>8</v>
      </c>
      <c r="E123" s="70" t="str">
        <f>HLOOKUP(D2,MultiLanguage!B:S,20,FALSE)</f>
        <v>Nee</v>
      </c>
      <c r="F123" s="203" t="s">
        <v>666</v>
      </c>
      <c r="G123" s="80" t="s">
        <v>19</v>
      </c>
      <c r="H123" s="77" t="s">
        <v>8</v>
      </c>
      <c r="I123" s="202" t="s">
        <v>425</v>
      </c>
    </row>
    <row r="124" spans="3:9" ht="24" hidden="1" customHeight="1" thickBot="1" x14ac:dyDescent="0.2">
      <c r="C124" s="82" t="str">
        <f>HLOOKUP(D2,MultiLanguage!B:S,7,FALSE)</f>
        <v>Verkeerd aantal ontvangen</v>
      </c>
      <c r="D124" s="76"/>
      <c r="E124" s="70"/>
      <c r="F124" s="71" t="s">
        <v>123</v>
      </c>
      <c r="G124" s="80" t="s">
        <v>20</v>
      </c>
      <c r="H124" s="77"/>
      <c r="I124" s="202" t="s">
        <v>1059</v>
      </c>
    </row>
    <row r="125" spans="3:9" ht="12" hidden="1" customHeight="1" thickBot="1" x14ac:dyDescent="0.2">
      <c r="C125" s="82" t="str">
        <f>HLOOKUP(D2,MultiLanguage!B:S,8,FALSE)</f>
        <v>Voorraad retour</v>
      </c>
      <c r="D125" s="76"/>
      <c r="E125" s="70"/>
      <c r="F125" s="203" t="s">
        <v>124</v>
      </c>
      <c r="G125" s="80" t="s">
        <v>21</v>
      </c>
      <c r="H125" s="78"/>
      <c r="I125" s="203" t="s">
        <v>203</v>
      </c>
    </row>
    <row r="126" spans="3:9" ht="12" hidden="1" customHeight="1" thickBot="1" x14ac:dyDescent="0.2">
      <c r="C126" s="82" t="str">
        <f>HLOOKUP(D2,MultiLanguage!B:S,9,FALSE)</f>
        <v>Foutieve levering ontvangen</v>
      </c>
      <c r="D126" s="76"/>
      <c r="E126" s="70"/>
      <c r="F126" s="203" t="s">
        <v>125</v>
      </c>
      <c r="G126" s="80" t="s">
        <v>22</v>
      </c>
      <c r="H126" s="78"/>
      <c r="I126" s="203" t="s">
        <v>176</v>
      </c>
    </row>
    <row r="127" spans="3:9" ht="12" hidden="1" customHeight="1" thickBot="1" x14ac:dyDescent="0.2">
      <c r="C127" s="82" t="str">
        <f>HLOOKUP(D2,MultiLanguage!B:S,10,FALSE)</f>
        <v>Project afgelast</v>
      </c>
      <c r="D127" s="76"/>
      <c r="E127" s="70"/>
      <c r="F127" s="203" t="s">
        <v>471</v>
      </c>
      <c r="G127" s="80" t="s">
        <v>23</v>
      </c>
      <c r="H127" s="78"/>
      <c r="I127" s="203" t="s">
        <v>1057</v>
      </c>
    </row>
    <row r="128" spans="3:9" ht="24" hidden="1" customHeight="1" thickBot="1" x14ac:dyDescent="0.2">
      <c r="C128" s="82" t="str">
        <f>HLOOKUP(D2,MultiLanguage!B:S,11,FALSE)</f>
        <v>Zending te laat ontvangen</v>
      </c>
      <c r="D128" s="76"/>
      <c r="E128" s="70"/>
      <c r="F128" s="71" t="s">
        <v>708</v>
      </c>
      <c r="G128" s="80" t="s">
        <v>24</v>
      </c>
      <c r="H128" s="78"/>
      <c r="I128" s="203" t="s">
        <v>205</v>
      </c>
    </row>
    <row r="129" spans="3:9" ht="12" hidden="1" customHeight="1" thickBot="1" x14ac:dyDescent="0.2">
      <c r="C129" s="82" t="str">
        <f>HLOOKUP(D2,MultiLanguage!B:S,12,FALSE)</f>
        <v>Foutief product besteld</v>
      </c>
      <c r="D129" s="76"/>
      <c r="E129" s="70"/>
      <c r="F129" s="203" t="s">
        <v>369</v>
      </c>
      <c r="G129" s="80" t="s">
        <v>25</v>
      </c>
      <c r="H129" s="78"/>
      <c r="I129" s="203" t="s">
        <v>1056</v>
      </c>
    </row>
    <row r="130" spans="3:9" ht="12" hidden="1" customHeight="1" thickBot="1" x14ac:dyDescent="0.2">
      <c r="C130" s="82" t="str">
        <f>HLOOKUP(D2,MultiLanguage!B:S,13,FALSE)</f>
        <v>Bestelling meermaals ontvangen</v>
      </c>
      <c r="D130" s="76"/>
      <c r="E130" s="70"/>
      <c r="F130" s="203" t="s">
        <v>122</v>
      </c>
      <c r="G130" s="80" t="s">
        <v>26</v>
      </c>
      <c r="H130" s="78"/>
      <c r="I130" s="203" t="s">
        <v>427</v>
      </c>
    </row>
    <row r="131" spans="3:9" ht="24" hidden="1" customHeight="1" thickBot="1" x14ac:dyDescent="0.2">
      <c r="C131" s="82" t="str">
        <f>HLOOKUP(D2,MultiLanguage!B:S,14,FALSE)</f>
        <v>Zending meermaals ontvangen</v>
      </c>
      <c r="D131" s="76"/>
      <c r="E131" s="70"/>
      <c r="F131" s="238" t="s">
        <v>265</v>
      </c>
      <c r="G131" s="80" t="s">
        <v>27</v>
      </c>
      <c r="H131" s="78"/>
      <c r="I131" s="203" t="s">
        <v>1058</v>
      </c>
    </row>
    <row r="132" spans="3:9" ht="12" hidden="1" customHeight="1" thickBot="1" x14ac:dyDescent="0.2">
      <c r="C132" s="82" t="str">
        <f>HLOOKUP(D2,MultiLanguage!B:S,15,FALSE)</f>
        <v>Zending te vroeg ontvangen</v>
      </c>
      <c r="D132" s="76"/>
      <c r="E132" s="70"/>
      <c r="F132" s="65"/>
      <c r="G132" s="80" t="s">
        <v>28</v>
      </c>
      <c r="H132" s="78"/>
      <c r="I132" s="203" t="s">
        <v>416</v>
      </c>
    </row>
    <row r="133" spans="3:9" ht="12" hidden="1" customHeight="1" thickBot="1" x14ac:dyDescent="0.2">
      <c r="C133" s="82" t="str">
        <f>HLOOKUP(D2,MultiLanguage!B:S,16,FALSE)</f>
        <v>Zending beschadigd</v>
      </c>
      <c r="D133" s="76"/>
      <c r="E133" s="70"/>
      <c r="F133" s="65"/>
      <c r="G133" s="80" t="s">
        <v>6</v>
      </c>
      <c r="H133" s="78"/>
      <c r="I133" s="203" t="s">
        <v>431</v>
      </c>
    </row>
    <row r="134" spans="3:9" ht="12" hidden="1" customHeight="1" thickBot="1" x14ac:dyDescent="0.2">
      <c r="C134" s="93" t="s">
        <v>58</v>
      </c>
      <c r="D134" s="93"/>
      <c r="E134" s="93" t="s">
        <v>58</v>
      </c>
      <c r="F134" s="94"/>
      <c r="G134" s="94" t="s">
        <v>58</v>
      </c>
      <c r="H134" s="94" t="s">
        <v>58</v>
      </c>
      <c r="I134" s="203" t="s">
        <v>204</v>
      </c>
    </row>
    <row r="135" spans="3:9" ht="12" hidden="1" customHeight="1" thickBot="1" x14ac:dyDescent="0.2">
      <c r="C135" s="93" t="s">
        <v>18</v>
      </c>
      <c r="D135" s="93"/>
      <c r="E135" s="93" t="s">
        <v>7</v>
      </c>
      <c r="F135" s="94"/>
      <c r="G135" s="94" t="s">
        <v>18</v>
      </c>
      <c r="H135" s="94" t="s">
        <v>7</v>
      </c>
      <c r="I135" s="203" t="s">
        <v>429</v>
      </c>
    </row>
    <row r="136" spans="3:9" ht="12" hidden="1" customHeight="1" thickBot="1" x14ac:dyDescent="0.2">
      <c r="C136" s="93" t="s">
        <v>19</v>
      </c>
      <c r="D136" s="93"/>
      <c r="E136" s="93" t="s">
        <v>8</v>
      </c>
      <c r="F136" s="94"/>
      <c r="G136" s="94" t="s">
        <v>19</v>
      </c>
      <c r="H136" s="94" t="s">
        <v>8</v>
      </c>
      <c r="I136" s="203" t="s">
        <v>417</v>
      </c>
    </row>
    <row r="137" spans="3:9" ht="12" hidden="1" customHeight="1" thickBot="1" x14ac:dyDescent="0.2">
      <c r="C137" s="93" t="s">
        <v>20</v>
      </c>
      <c r="D137" s="93"/>
      <c r="E137" s="93"/>
      <c r="F137" s="94"/>
      <c r="G137" s="94" t="s">
        <v>20</v>
      </c>
      <c r="H137" s="94"/>
    </row>
    <row r="138" spans="3:9" ht="24" hidden="1" customHeight="1" thickBot="1" x14ac:dyDescent="0.2">
      <c r="C138" s="93" t="s">
        <v>21</v>
      </c>
      <c r="D138" s="93"/>
      <c r="E138" s="93"/>
      <c r="F138" s="94"/>
      <c r="G138" s="94" t="s">
        <v>21</v>
      </c>
      <c r="H138" s="94"/>
    </row>
    <row r="139" spans="3:9" ht="12" hidden="1" customHeight="1" thickBot="1" x14ac:dyDescent="0.2">
      <c r="C139" s="93" t="s">
        <v>22</v>
      </c>
      <c r="D139" s="93"/>
      <c r="E139" s="93"/>
      <c r="F139" s="94"/>
      <c r="G139" s="94" t="s">
        <v>22</v>
      </c>
      <c r="H139" s="94"/>
      <c r="I139" s="94"/>
    </row>
    <row r="140" spans="3:9" ht="12" hidden="1" customHeight="1" thickBot="1" x14ac:dyDescent="0.2">
      <c r="C140" s="93" t="s">
        <v>23</v>
      </c>
      <c r="D140" s="93"/>
      <c r="E140" s="93"/>
      <c r="F140" s="94"/>
      <c r="G140" s="94" t="s">
        <v>23</v>
      </c>
      <c r="H140" s="94"/>
      <c r="I140" s="94"/>
    </row>
    <row r="141" spans="3:9" ht="12" hidden="1" customHeight="1" thickBot="1" x14ac:dyDescent="0.2">
      <c r="C141" s="93" t="s">
        <v>24</v>
      </c>
      <c r="D141" s="93"/>
      <c r="E141" s="93"/>
      <c r="F141" s="94"/>
      <c r="G141" s="94" t="s">
        <v>24</v>
      </c>
      <c r="H141" s="94"/>
      <c r="I141" s="94"/>
    </row>
    <row r="142" spans="3:9" ht="12" hidden="1" customHeight="1" thickBot="1" x14ac:dyDescent="0.2">
      <c r="C142" s="93" t="s">
        <v>25</v>
      </c>
      <c r="D142" s="93"/>
      <c r="E142" s="93"/>
      <c r="F142" s="94"/>
      <c r="G142" s="94" t="s">
        <v>25</v>
      </c>
      <c r="H142" s="94"/>
      <c r="I142" s="94"/>
    </row>
    <row r="143" spans="3:9" ht="12" hidden="1" customHeight="1" thickBot="1" x14ac:dyDescent="0.2">
      <c r="C143" s="93" t="s">
        <v>26</v>
      </c>
      <c r="D143" s="93"/>
      <c r="E143" s="93"/>
      <c r="F143" s="94"/>
      <c r="G143" s="94" t="s">
        <v>26</v>
      </c>
      <c r="H143" s="94"/>
      <c r="I143" s="94"/>
    </row>
    <row r="144" spans="3:9" ht="24" hidden="1" customHeight="1" thickBot="1" x14ac:dyDescent="0.2">
      <c r="C144" s="93" t="s">
        <v>27</v>
      </c>
      <c r="D144" s="93"/>
      <c r="E144" s="93"/>
      <c r="F144" s="94"/>
      <c r="G144" s="94" t="s">
        <v>27</v>
      </c>
      <c r="H144" s="94"/>
      <c r="I144" s="94"/>
    </row>
    <row r="145" spans="3:27" ht="12" hidden="1" customHeight="1" thickBot="1" x14ac:dyDescent="0.2">
      <c r="C145" s="93" t="s">
        <v>28</v>
      </c>
      <c r="D145" s="93"/>
      <c r="E145" s="93"/>
      <c r="F145" s="94"/>
      <c r="G145" s="94" t="s">
        <v>28</v>
      </c>
      <c r="H145" s="94"/>
      <c r="I145" s="94"/>
    </row>
    <row r="146" spans="3:27" ht="12" hidden="1" customHeight="1" thickBot="1" x14ac:dyDescent="0.2">
      <c r="C146" s="93" t="s">
        <v>6</v>
      </c>
      <c r="D146" s="93"/>
      <c r="E146" s="93"/>
      <c r="F146" s="94"/>
      <c r="G146" s="94" t="s">
        <v>6</v>
      </c>
      <c r="H146" s="94"/>
      <c r="I146" s="94"/>
    </row>
    <row r="147" spans="3:27" ht="21.75" hidden="1" customHeight="1" thickBot="1" x14ac:dyDescent="0.2"/>
    <row r="148" spans="3:27" ht="12" hidden="1" customHeight="1" thickBot="1" x14ac:dyDescent="0.2"/>
    <row r="149" spans="3:27" ht="12" hidden="1" customHeight="1" thickBot="1" x14ac:dyDescent="0.2"/>
    <row r="150" spans="3:27" ht="12" hidden="1" customHeight="1" thickBot="1" x14ac:dyDescent="0.2">
      <c r="C150" s="214" t="str">
        <f>DATE!B1</f>
        <v>MULTI_LG</v>
      </c>
      <c r="D150" s="213"/>
      <c r="E150" s="19"/>
      <c r="Q150" s="17"/>
      <c r="AA150" s="16"/>
    </row>
    <row r="151" spans="3:27" ht="12" hidden="1" customHeight="1" thickBot="1" x14ac:dyDescent="0.2">
      <c r="C151" s="214" t="str">
        <f>DATE!B2</f>
        <v>Mnd-JJ</v>
      </c>
      <c r="E151" s="215"/>
      <c r="Q151" s="17"/>
      <c r="AA151" s="16"/>
    </row>
    <row r="152" spans="3:27" ht="12" hidden="1" customHeight="1" thickBot="1" x14ac:dyDescent="0.2">
      <c r="C152" s="214" t="str">
        <f>DATE!B3</f>
        <v>&lt; 2020</v>
      </c>
      <c r="E152" s="216"/>
      <c r="Q152" s="17"/>
      <c r="AA152" s="16"/>
    </row>
    <row r="153" spans="3:27" ht="12" hidden="1" customHeight="1" thickBot="1" x14ac:dyDescent="0.2">
      <c r="C153" s="214" t="str">
        <f>DATE!B4</f>
        <v>jan-20</v>
      </c>
      <c r="E153" s="19"/>
      <c r="Q153" s="17"/>
      <c r="AA153" s="16"/>
    </row>
    <row r="154" spans="3:27" ht="12" hidden="1" customHeight="1" thickBot="1" x14ac:dyDescent="0.2">
      <c r="C154" s="214" t="str">
        <f>DATE!B5</f>
        <v>feb-20</v>
      </c>
      <c r="E154" s="19"/>
      <c r="Q154" s="17"/>
      <c r="AA154" s="16"/>
    </row>
    <row r="155" spans="3:27" ht="12" hidden="1" customHeight="1" thickBot="1" x14ac:dyDescent="0.2">
      <c r="C155" s="214" t="str">
        <f>DATE!B6</f>
        <v>mrt-20</v>
      </c>
      <c r="E155" s="19"/>
      <c r="Q155" s="17"/>
      <c r="AA155" s="16"/>
    </row>
    <row r="156" spans="3:27" ht="12" hidden="1" customHeight="1" thickBot="1" x14ac:dyDescent="0.2">
      <c r="C156" s="214" t="str">
        <f>DATE!B7</f>
        <v>apr-20</v>
      </c>
      <c r="E156" s="19"/>
      <c r="Q156" s="17"/>
      <c r="AA156" s="16"/>
    </row>
    <row r="157" spans="3:27" ht="12" hidden="1" customHeight="1" thickBot="1" x14ac:dyDescent="0.2">
      <c r="C157" s="214" t="str">
        <f>DATE!B8</f>
        <v>mei-20</v>
      </c>
      <c r="E157" s="19"/>
      <c r="Q157" s="17"/>
      <c r="AA157" s="16"/>
    </row>
    <row r="158" spans="3:27" ht="12" hidden="1" customHeight="1" thickBot="1" x14ac:dyDescent="0.2">
      <c r="C158" s="214" t="str">
        <f>DATE!B9</f>
        <v>jun-20</v>
      </c>
      <c r="E158" s="19"/>
      <c r="Q158" s="17"/>
      <c r="AA158" s="16"/>
    </row>
    <row r="159" spans="3:27" ht="12" hidden="1" customHeight="1" thickBot="1" x14ac:dyDescent="0.2">
      <c r="C159" s="214" t="str">
        <f>DATE!B10</f>
        <v>jul-20</v>
      </c>
      <c r="E159" s="19"/>
      <c r="Q159" s="17"/>
      <c r="AA159" s="16"/>
    </row>
    <row r="160" spans="3:27" ht="12" hidden="1" customHeight="1" thickBot="1" x14ac:dyDescent="0.2">
      <c r="C160" s="214" t="str">
        <f>DATE!B11</f>
        <v>aug-20</v>
      </c>
      <c r="E160" s="19"/>
      <c r="Q160" s="17"/>
      <c r="AA160" s="16"/>
    </row>
    <row r="161" spans="3:27" ht="12" hidden="1" customHeight="1" thickBot="1" x14ac:dyDescent="0.2">
      <c r="C161" s="214" t="str">
        <f>DATE!B12</f>
        <v>sep-20</v>
      </c>
      <c r="E161" s="19"/>
      <c r="Q161" s="17"/>
      <c r="AA161" s="16"/>
    </row>
    <row r="162" spans="3:27" ht="12" hidden="1" customHeight="1" thickBot="1" x14ac:dyDescent="0.2">
      <c r="C162" s="214" t="str">
        <f>DATE!B13</f>
        <v>okt-20</v>
      </c>
      <c r="E162" s="19"/>
      <c r="Q162" s="17"/>
      <c r="AA162" s="16"/>
    </row>
    <row r="163" spans="3:27" ht="12" hidden="1" customHeight="1" thickBot="1" x14ac:dyDescent="0.2">
      <c r="C163" s="214" t="str">
        <f>DATE!B14</f>
        <v>nov-20</v>
      </c>
      <c r="E163" s="19"/>
      <c r="Q163" s="17"/>
      <c r="AA163" s="16"/>
    </row>
    <row r="164" spans="3:27" ht="12" hidden="1" customHeight="1" thickBot="1" x14ac:dyDescent="0.2">
      <c r="C164" s="214" t="str">
        <f>DATE!B15</f>
        <v>dec-20</v>
      </c>
      <c r="E164" s="19"/>
      <c r="Q164" s="17"/>
      <c r="AA164" s="16"/>
    </row>
    <row r="165" spans="3:27" ht="12" hidden="1" customHeight="1" thickBot="1" x14ac:dyDescent="0.2">
      <c r="C165" s="214" t="str">
        <f>DATE!B16</f>
        <v>jan-21</v>
      </c>
      <c r="E165" s="19"/>
      <c r="Q165" s="17"/>
      <c r="AA165" s="16"/>
    </row>
    <row r="166" spans="3:27" ht="12" hidden="1" customHeight="1" thickBot="1" x14ac:dyDescent="0.2">
      <c r="C166" s="214" t="str">
        <f>DATE!B17</f>
        <v>feb-21</v>
      </c>
      <c r="E166" s="19"/>
      <c r="Q166" s="17"/>
      <c r="AA166" s="16"/>
    </row>
    <row r="167" spans="3:27" ht="12" hidden="1" customHeight="1" thickBot="1" x14ac:dyDescent="0.2">
      <c r="C167" s="214" t="str">
        <f>DATE!B18</f>
        <v>mrt-21</v>
      </c>
      <c r="E167" s="19"/>
      <c r="Q167" s="17"/>
      <c r="AA167" s="16"/>
    </row>
    <row r="168" spans="3:27" ht="12" hidden="1" customHeight="1" thickBot="1" x14ac:dyDescent="0.2">
      <c r="C168" s="214" t="str">
        <f>DATE!B19</f>
        <v>apr-21</v>
      </c>
      <c r="E168" s="19"/>
      <c r="Q168" s="17"/>
      <c r="AA168" s="16"/>
    </row>
    <row r="169" spans="3:27" ht="12" hidden="1" customHeight="1" thickBot="1" x14ac:dyDescent="0.2">
      <c r="C169" s="214" t="str">
        <f>DATE!B20</f>
        <v>mei-21</v>
      </c>
      <c r="E169" s="19"/>
      <c r="Q169" s="17"/>
      <c r="AA169" s="16"/>
    </row>
    <row r="170" spans="3:27" ht="12" hidden="1" customHeight="1" thickBot="1" x14ac:dyDescent="0.2">
      <c r="C170" s="214" t="str">
        <f>DATE!B21</f>
        <v>jun-21</v>
      </c>
      <c r="E170" s="19"/>
      <c r="Q170" s="17"/>
      <c r="AA170" s="16"/>
    </row>
    <row r="171" spans="3:27" ht="12" hidden="1" customHeight="1" thickBot="1" x14ac:dyDescent="0.2">
      <c r="C171" s="214" t="str">
        <f>DATE!B22</f>
        <v>jul-21</v>
      </c>
      <c r="E171" s="19"/>
      <c r="Q171" s="17"/>
      <c r="AA171" s="16"/>
    </row>
    <row r="172" spans="3:27" ht="12" hidden="1" customHeight="1" thickBot="1" x14ac:dyDescent="0.2">
      <c r="C172" s="214" t="str">
        <f>DATE!B23</f>
        <v>aug-21</v>
      </c>
      <c r="E172" s="19"/>
      <c r="Q172" s="17"/>
      <c r="AA172" s="16"/>
    </row>
    <row r="173" spans="3:27" ht="12" hidden="1" customHeight="1" thickBot="1" x14ac:dyDescent="0.2">
      <c r="C173" s="214" t="str">
        <f>DATE!B24</f>
        <v>sep-21</v>
      </c>
      <c r="E173" s="19"/>
      <c r="Q173" s="17"/>
      <c r="AA173" s="16"/>
    </row>
    <row r="174" spans="3:27" ht="12" hidden="1" customHeight="1" thickBot="1" x14ac:dyDescent="0.2">
      <c r="C174" s="214" t="str">
        <f>DATE!B25</f>
        <v>okt-21</v>
      </c>
      <c r="E174" s="19"/>
      <c r="Q174" s="17"/>
      <c r="AA174" s="16"/>
    </row>
    <row r="175" spans="3:27" ht="12" hidden="1" customHeight="1" thickBot="1" x14ac:dyDescent="0.2">
      <c r="C175" s="214" t="str">
        <f>DATE!B26</f>
        <v>nov-21</v>
      </c>
      <c r="E175" s="19"/>
      <c r="Q175" s="17"/>
      <c r="AA175" s="16"/>
    </row>
    <row r="176" spans="3:27" ht="12" hidden="1" customHeight="1" thickBot="1" x14ac:dyDescent="0.2">
      <c r="C176" s="214" t="str">
        <f>DATE!B27</f>
        <v>dec-21</v>
      </c>
      <c r="E176" s="19"/>
      <c r="Q176" s="17"/>
      <c r="AA176" s="16"/>
    </row>
    <row r="177" spans="3:27" ht="12" hidden="1" customHeight="1" thickBot="1" x14ac:dyDescent="0.2">
      <c r="C177" s="214" t="str">
        <f>DATE!B28</f>
        <v>jan-22</v>
      </c>
      <c r="E177" s="19"/>
      <c r="Q177" s="17"/>
      <c r="AA177" s="16"/>
    </row>
    <row r="178" spans="3:27" ht="12" hidden="1" customHeight="1" thickBot="1" x14ac:dyDescent="0.2">
      <c r="C178" s="214" t="str">
        <f>DATE!B29</f>
        <v>feb-22</v>
      </c>
      <c r="E178" s="19"/>
      <c r="Q178" s="17"/>
      <c r="AA178" s="16"/>
    </row>
    <row r="179" spans="3:27" ht="12" hidden="1" customHeight="1" thickBot="1" x14ac:dyDescent="0.2">
      <c r="C179" s="214" t="str">
        <f>DATE!B30</f>
        <v>mrt-22</v>
      </c>
      <c r="E179" s="19"/>
      <c r="Q179" s="17"/>
      <c r="AA179" s="16"/>
    </row>
    <row r="180" spans="3:27" ht="12" hidden="1" customHeight="1" thickBot="1" x14ac:dyDescent="0.2">
      <c r="C180" s="214" t="str">
        <f>DATE!B31</f>
        <v>apr-22</v>
      </c>
      <c r="E180" s="19"/>
      <c r="Q180" s="17"/>
      <c r="AA180" s="16"/>
    </row>
    <row r="181" spans="3:27" ht="12" hidden="1" customHeight="1" thickBot="1" x14ac:dyDescent="0.2">
      <c r="C181" s="214" t="str">
        <f>DATE!B32</f>
        <v>mei-22</v>
      </c>
      <c r="E181" s="19"/>
      <c r="Q181" s="17"/>
      <c r="AA181" s="16"/>
    </row>
    <row r="182" spans="3:27" ht="12" hidden="1" customHeight="1" thickBot="1" x14ac:dyDescent="0.2">
      <c r="C182" s="214" t="str">
        <f>DATE!B33</f>
        <v>jun-22</v>
      </c>
      <c r="E182" s="19"/>
      <c r="Q182" s="17"/>
      <c r="AA182" s="16"/>
    </row>
    <row r="183" spans="3:27" ht="12" hidden="1" customHeight="1" thickBot="1" x14ac:dyDescent="0.2">
      <c r="C183" s="214" t="str">
        <f>DATE!B34</f>
        <v>jul-22</v>
      </c>
      <c r="E183" s="19"/>
      <c r="Q183" s="17"/>
      <c r="AA183" s="16"/>
    </row>
    <row r="184" spans="3:27" ht="12" hidden="1" customHeight="1" thickBot="1" x14ac:dyDescent="0.2">
      <c r="C184" s="214" t="str">
        <f>DATE!B35</f>
        <v>aug-22</v>
      </c>
      <c r="E184" s="19"/>
      <c r="Q184" s="17"/>
      <c r="AA184" s="16"/>
    </row>
    <row r="185" spans="3:27" ht="12" hidden="1" customHeight="1" thickBot="1" x14ac:dyDescent="0.2">
      <c r="C185" s="214" t="str">
        <f>DATE!B36</f>
        <v>sep-22</v>
      </c>
      <c r="E185" s="19"/>
      <c r="Q185" s="17"/>
      <c r="AA185" s="16"/>
    </row>
    <row r="186" spans="3:27" ht="12" hidden="1" customHeight="1" thickBot="1" x14ac:dyDescent="0.2">
      <c r="C186" s="214" t="str">
        <f>DATE!B37</f>
        <v>okt-22</v>
      </c>
      <c r="E186" s="19"/>
      <c r="Q186" s="17"/>
      <c r="AA186" s="16"/>
    </row>
    <row r="187" spans="3:27" ht="12" hidden="1" customHeight="1" thickBot="1" x14ac:dyDescent="0.2">
      <c r="C187" s="214" t="str">
        <f>DATE!B38</f>
        <v>nov-22</v>
      </c>
      <c r="E187" s="19"/>
      <c r="Q187" s="17"/>
      <c r="AA187" s="16"/>
    </row>
    <row r="188" spans="3:27" ht="12" hidden="1" customHeight="1" thickBot="1" x14ac:dyDescent="0.2">
      <c r="C188" s="214" t="str">
        <f>DATE!B39</f>
        <v>dec-22</v>
      </c>
      <c r="E188" s="19"/>
      <c r="Q188" s="17"/>
      <c r="AA188" s="16"/>
    </row>
    <row r="189" spans="3:27" ht="12" hidden="1" customHeight="1" thickBot="1" x14ac:dyDescent="0.2">
      <c r="C189" s="214" t="str">
        <f>DATE!B40</f>
        <v>jan-23</v>
      </c>
      <c r="E189" s="19"/>
      <c r="Q189" s="17"/>
      <c r="AA189" s="16"/>
    </row>
    <row r="190" spans="3:27" ht="12" hidden="1" customHeight="1" thickBot="1" x14ac:dyDescent="0.2">
      <c r="C190" s="214" t="str">
        <f>DATE!B41</f>
        <v>feb-23</v>
      </c>
      <c r="E190" s="19"/>
      <c r="Q190" s="17"/>
      <c r="AA190" s="16"/>
    </row>
    <row r="191" spans="3:27" ht="12" hidden="1" customHeight="1" thickBot="1" x14ac:dyDescent="0.2">
      <c r="C191" s="214" t="str">
        <f>DATE!B42</f>
        <v>mrt-23</v>
      </c>
      <c r="E191" s="19"/>
      <c r="Q191" s="17"/>
      <c r="AA191" s="16"/>
    </row>
    <row r="192" spans="3:27" ht="12" hidden="1" customHeight="1" thickBot="1" x14ac:dyDescent="0.2">
      <c r="C192" s="214" t="str">
        <f>DATE!B43</f>
        <v>apr-23</v>
      </c>
      <c r="E192" s="19"/>
      <c r="Q192" s="17"/>
      <c r="AA192" s="16"/>
    </row>
    <row r="193" spans="3:27" ht="12" hidden="1" customHeight="1" thickBot="1" x14ac:dyDescent="0.2">
      <c r="C193" s="214" t="str">
        <f>DATE!B44</f>
        <v>mei-23</v>
      </c>
      <c r="E193" s="19"/>
      <c r="Q193" s="17"/>
      <c r="AA193" s="16"/>
    </row>
    <row r="194" spans="3:27" ht="12" hidden="1" customHeight="1" thickBot="1" x14ac:dyDescent="0.2">
      <c r="C194" s="214" t="str">
        <f>DATE!B45</f>
        <v>jun-23</v>
      </c>
      <c r="E194" s="19"/>
      <c r="Q194" s="17"/>
      <c r="AA194" s="16"/>
    </row>
    <row r="195" spans="3:27" ht="12" hidden="1" customHeight="1" thickBot="1" x14ac:dyDescent="0.2">
      <c r="C195" s="214" t="str">
        <f>DATE!B46</f>
        <v>jul-23</v>
      </c>
      <c r="E195" s="19"/>
      <c r="Q195" s="17"/>
      <c r="AA195" s="16"/>
    </row>
    <row r="196" spans="3:27" ht="12" hidden="1" customHeight="1" thickBot="1" x14ac:dyDescent="0.2">
      <c r="C196" s="214" t="str">
        <f>DATE!B47</f>
        <v>aug-23</v>
      </c>
      <c r="E196" s="19"/>
      <c r="Q196" s="17"/>
      <c r="AA196" s="16"/>
    </row>
    <row r="197" spans="3:27" ht="12" hidden="1" customHeight="1" thickBot="1" x14ac:dyDescent="0.2">
      <c r="C197" s="214" t="str">
        <f>DATE!B48</f>
        <v>sep-23</v>
      </c>
      <c r="E197" s="19"/>
      <c r="Q197" s="17"/>
      <c r="AA197" s="16"/>
    </row>
    <row r="198" spans="3:27" ht="12" hidden="1" customHeight="1" thickBot="1" x14ac:dyDescent="0.2">
      <c r="C198" s="214" t="str">
        <f>DATE!B49</f>
        <v>okt-23</v>
      </c>
      <c r="E198" s="19"/>
      <c r="Q198" s="17"/>
      <c r="AA198" s="16"/>
    </row>
    <row r="199" spans="3:27" ht="12" hidden="1" customHeight="1" thickBot="1" x14ac:dyDescent="0.2">
      <c r="C199" s="214" t="str">
        <f>DATE!B50</f>
        <v>nov-23</v>
      </c>
      <c r="E199" s="19"/>
      <c r="Q199" s="17"/>
      <c r="AA199" s="16"/>
    </row>
    <row r="200" spans="3:27" ht="12" hidden="1" customHeight="1" thickBot="1" x14ac:dyDescent="0.2">
      <c r="C200" s="214" t="str">
        <f>DATE!B51</f>
        <v>dec-23</v>
      </c>
      <c r="E200" s="19"/>
      <c r="Q200" s="17"/>
      <c r="AA200" s="16"/>
    </row>
    <row r="201" spans="3:27" ht="12" hidden="1" customHeight="1" thickBot="1" x14ac:dyDescent="0.2">
      <c r="C201" s="214" t="str">
        <f>DATE!B52</f>
        <v>jan-24</v>
      </c>
      <c r="E201" s="19"/>
      <c r="Q201" s="17"/>
      <c r="AA201" s="16"/>
    </row>
    <row r="202" spans="3:27" ht="12" hidden="1" customHeight="1" thickBot="1" x14ac:dyDescent="0.2">
      <c r="C202" s="214" t="str">
        <f>DATE!B53</f>
        <v>feb-24</v>
      </c>
      <c r="E202" s="19"/>
      <c r="Q202" s="17"/>
      <c r="AA202" s="16"/>
    </row>
    <row r="203" spans="3:27" ht="12" hidden="1" customHeight="1" thickBot="1" x14ac:dyDescent="0.2">
      <c r="C203" s="214" t="str">
        <f>DATE!B54</f>
        <v>mrt-24</v>
      </c>
      <c r="E203" s="19"/>
      <c r="Q203" s="17"/>
      <c r="AA203" s="16"/>
    </row>
    <row r="204" spans="3:27" ht="12" hidden="1" customHeight="1" thickBot="1" x14ac:dyDescent="0.2">
      <c r="C204" s="214" t="str">
        <f>DATE!B55</f>
        <v>apr-24</v>
      </c>
      <c r="E204" s="19"/>
      <c r="Q204" s="17"/>
      <c r="AA204" s="16"/>
    </row>
    <row r="205" spans="3:27" ht="12" hidden="1" customHeight="1" thickBot="1" x14ac:dyDescent="0.2">
      <c r="C205" s="214" t="str">
        <f>DATE!B56</f>
        <v>mei-24</v>
      </c>
      <c r="E205" s="19"/>
      <c r="Q205" s="17"/>
      <c r="AA205" s="16"/>
    </row>
    <row r="206" spans="3:27" ht="12" hidden="1" customHeight="1" thickBot="1" x14ac:dyDescent="0.2">
      <c r="C206" s="214" t="str">
        <f>DATE!B57</f>
        <v>jun-24</v>
      </c>
      <c r="E206" s="19"/>
      <c r="Q206" s="17"/>
      <c r="AA206" s="16"/>
    </row>
    <row r="207" spans="3:27" ht="12" hidden="1" customHeight="1" thickBot="1" x14ac:dyDescent="0.2">
      <c r="C207" s="214" t="str">
        <f>DATE!B58</f>
        <v>jul-24</v>
      </c>
      <c r="E207" s="19"/>
      <c r="Q207" s="17"/>
      <c r="AA207" s="16"/>
    </row>
    <row r="208" spans="3:27" ht="12" hidden="1" customHeight="1" thickBot="1" x14ac:dyDescent="0.2">
      <c r="C208" s="214" t="str">
        <f>DATE!B59</f>
        <v>aug-24</v>
      </c>
      <c r="E208" s="19"/>
      <c r="Q208" s="17"/>
      <c r="AA208" s="16"/>
    </row>
    <row r="209" spans="3:27" ht="12" hidden="1" customHeight="1" thickBot="1" x14ac:dyDescent="0.2">
      <c r="C209" s="214" t="str">
        <f>DATE!B60</f>
        <v>sep-24</v>
      </c>
      <c r="E209" s="19"/>
      <c r="Q209" s="17"/>
      <c r="AA209" s="16"/>
    </row>
    <row r="210" spans="3:27" ht="12" hidden="1" customHeight="1" thickBot="1" x14ac:dyDescent="0.2">
      <c r="C210" s="214" t="str">
        <f>DATE!B61</f>
        <v>okt-24</v>
      </c>
      <c r="E210" s="19"/>
      <c r="Q210" s="17"/>
      <c r="AA210" s="16"/>
    </row>
    <row r="211" spans="3:27" ht="12" hidden="1" customHeight="1" thickBot="1" x14ac:dyDescent="0.2">
      <c r="C211" s="214" t="str">
        <f>DATE!B62</f>
        <v>nov-24</v>
      </c>
      <c r="E211" s="19"/>
      <c r="Q211" s="17"/>
      <c r="AA211" s="16"/>
    </row>
    <row r="212" spans="3:27" ht="12" hidden="1" customHeight="1" thickBot="1" x14ac:dyDescent="0.2">
      <c r="C212" s="214" t="str">
        <f>DATE!B63</f>
        <v>dec-24</v>
      </c>
      <c r="E212" s="19"/>
      <c r="Q212" s="17"/>
      <c r="AA212" s="16"/>
    </row>
    <row r="213" spans="3:27" ht="12" hidden="1" customHeight="1" thickBot="1" x14ac:dyDescent="0.2">
      <c r="C213" s="214" t="str">
        <f>DATE!B64</f>
        <v>jan-25</v>
      </c>
      <c r="E213" s="19"/>
      <c r="Q213" s="17"/>
      <c r="AA213" s="16"/>
    </row>
    <row r="214" spans="3:27" ht="12" hidden="1" customHeight="1" thickBot="1" x14ac:dyDescent="0.2">
      <c r="C214" s="214" t="str">
        <f>DATE!B65</f>
        <v>feb-25</v>
      </c>
      <c r="E214" s="19"/>
      <c r="Q214" s="17"/>
      <c r="AA214" s="16"/>
    </row>
    <row r="215" spans="3:27" ht="12" hidden="1" customHeight="1" thickBot="1" x14ac:dyDescent="0.2">
      <c r="C215" s="214" t="str">
        <f>DATE!B66</f>
        <v>mrt-25</v>
      </c>
      <c r="E215" s="19"/>
      <c r="Q215" s="17"/>
      <c r="AA215" s="16"/>
    </row>
    <row r="216" spans="3:27" ht="12" hidden="1" customHeight="1" thickBot="1" x14ac:dyDescent="0.2">
      <c r="C216" s="214" t="str">
        <f>DATE!B67</f>
        <v>apr-25</v>
      </c>
      <c r="E216" s="19"/>
      <c r="Q216" s="17"/>
      <c r="AA216" s="16"/>
    </row>
    <row r="217" spans="3:27" ht="12" hidden="1" customHeight="1" thickBot="1" x14ac:dyDescent="0.2">
      <c r="C217" s="214" t="str">
        <f>DATE!B68</f>
        <v>mei-25</v>
      </c>
      <c r="E217" s="19"/>
      <c r="Q217" s="17"/>
      <c r="AA217" s="16"/>
    </row>
    <row r="218" spans="3:27" ht="12" hidden="1" customHeight="1" thickBot="1" x14ac:dyDescent="0.2">
      <c r="C218" s="214" t="str">
        <f>DATE!B69</f>
        <v>jun-25</v>
      </c>
      <c r="E218" s="19"/>
      <c r="Q218" s="17"/>
      <c r="AA218" s="16"/>
    </row>
    <row r="219" spans="3:27" ht="12" hidden="1" customHeight="1" thickBot="1" x14ac:dyDescent="0.2">
      <c r="C219" s="214" t="str">
        <f>DATE!B70</f>
        <v>jul-25</v>
      </c>
      <c r="E219" s="19"/>
      <c r="Q219" s="17"/>
      <c r="AA219" s="16"/>
    </row>
    <row r="220" spans="3:27" ht="12" hidden="1" customHeight="1" thickBot="1" x14ac:dyDescent="0.2">
      <c r="C220" s="214" t="str">
        <f>DATE!B71</f>
        <v>aug-25</v>
      </c>
      <c r="E220" s="19"/>
      <c r="Q220" s="17"/>
      <c r="AA220" s="16"/>
    </row>
    <row r="221" spans="3:27" ht="12" hidden="1" customHeight="1" thickBot="1" x14ac:dyDescent="0.2">
      <c r="C221" s="214" t="str">
        <f>DATE!B72</f>
        <v>sep-25</v>
      </c>
      <c r="E221" s="19"/>
      <c r="Q221" s="17"/>
      <c r="AA221" s="16"/>
    </row>
    <row r="222" spans="3:27" ht="12" hidden="1" customHeight="1" thickBot="1" x14ac:dyDescent="0.2">
      <c r="C222" s="214" t="str">
        <f>DATE!B73</f>
        <v>okt-25</v>
      </c>
      <c r="E222" s="19"/>
      <c r="Q222" s="17"/>
      <c r="AA222" s="16"/>
    </row>
    <row r="223" spans="3:27" ht="12" hidden="1" customHeight="1" thickBot="1" x14ac:dyDescent="0.2">
      <c r="C223" s="214" t="str">
        <f>DATE!B74</f>
        <v>nov-25</v>
      </c>
      <c r="E223" s="19"/>
      <c r="Q223" s="17"/>
      <c r="AA223" s="16"/>
    </row>
    <row r="224" spans="3:27" ht="12" hidden="1" customHeight="1" thickBot="1" x14ac:dyDescent="0.2">
      <c r="C224" s="214" t="str">
        <f>DATE!B75</f>
        <v>dec-25</v>
      </c>
      <c r="E224" s="19"/>
      <c r="Q224" s="17"/>
      <c r="AA224" s="16"/>
    </row>
    <row r="225" spans="3:27" ht="12" hidden="1" customHeight="1" thickBot="1" x14ac:dyDescent="0.2">
      <c r="C225" s="214" t="str">
        <f>DATE!B76</f>
        <v>jan-26</v>
      </c>
      <c r="E225" s="19"/>
      <c r="Q225" s="17"/>
      <c r="AA225" s="16"/>
    </row>
    <row r="226" spans="3:27" ht="12" hidden="1" customHeight="1" thickBot="1" x14ac:dyDescent="0.2">
      <c r="C226" s="214" t="str">
        <f>DATE!B77</f>
        <v>feb-26</v>
      </c>
      <c r="E226" s="19"/>
      <c r="Q226" s="17"/>
      <c r="AA226" s="16"/>
    </row>
    <row r="227" spans="3:27" ht="12" hidden="1" customHeight="1" thickBot="1" x14ac:dyDescent="0.2">
      <c r="C227" s="214" t="str">
        <f>DATE!B78</f>
        <v>mrt-26</v>
      </c>
      <c r="E227" s="19"/>
      <c r="Q227" s="17"/>
      <c r="AA227" s="16"/>
    </row>
    <row r="228" spans="3:27" ht="12" hidden="1" customHeight="1" thickBot="1" x14ac:dyDescent="0.2">
      <c r="C228" s="214" t="str">
        <f>DATE!B79</f>
        <v>apr-26</v>
      </c>
      <c r="E228" s="19"/>
      <c r="Q228" s="17"/>
      <c r="AA228" s="16"/>
    </row>
    <row r="229" spans="3:27" ht="12" hidden="1" customHeight="1" thickBot="1" x14ac:dyDescent="0.2">
      <c r="C229" s="214" t="str">
        <f>DATE!B80</f>
        <v>mei-26</v>
      </c>
      <c r="E229" s="19"/>
      <c r="Q229" s="17"/>
      <c r="AA229" s="16"/>
    </row>
    <row r="230" spans="3:27" ht="12" hidden="1" customHeight="1" thickBot="1" x14ac:dyDescent="0.2">
      <c r="C230" s="214" t="str">
        <f>DATE!B81</f>
        <v>jun-26</v>
      </c>
      <c r="E230" s="19"/>
      <c r="Q230" s="17"/>
      <c r="AA230" s="16"/>
    </row>
    <row r="231" spans="3:27" ht="12" hidden="1" customHeight="1" thickBot="1" x14ac:dyDescent="0.2">
      <c r="C231" s="214" t="str">
        <f>DATE!B82</f>
        <v>jul-26</v>
      </c>
      <c r="E231" s="19"/>
      <c r="Q231" s="17"/>
      <c r="AA231" s="16"/>
    </row>
    <row r="232" spans="3:27" ht="12" hidden="1" customHeight="1" thickBot="1" x14ac:dyDescent="0.2">
      <c r="C232" s="214" t="str">
        <f>DATE!B83</f>
        <v>aug-26</v>
      </c>
      <c r="E232" s="19"/>
      <c r="Q232" s="17"/>
      <c r="AA232" s="16"/>
    </row>
    <row r="233" spans="3:27" ht="12" hidden="1" customHeight="1" thickBot="1" x14ac:dyDescent="0.2">
      <c r="C233" s="214" t="str">
        <f>DATE!B84</f>
        <v>sep-26</v>
      </c>
      <c r="E233" s="19"/>
      <c r="Q233" s="17"/>
      <c r="AA233" s="16"/>
    </row>
    <row r="234" spans="3:27" ht="12" hidden="1" customHeight="1" thickBot="1" x14ac:dyDescent="0.2">
      <c r="C234" s="214" t="str">
        <f>DATE!B85</f>
        <v>okt-26</v>
      </c>
      <c r="E234" s="19"/>
      <c r="Q234" s="17"/>
      <c r="AA234" s="16"/>
    </row>
    <row r="235" spans="3:27" ht="12" hidden="1" customHeight="1" thickBot="1" x14ac:dyDescent="0.2">
      <c r="C235" s="214" t="str">
        <f>DATE!B86</f>
        <v>nov-26</v>
      </c>
      <c r="E235" s="19"/>
      <c r="Q235" s="17"/>
      <c r="AA235" s="16"/>
    </row>
    <row r="236" spans="3:27" ht="12" hidden="1" customHeight="1" thickBot="1" x14ac:dyDescent="0.2">
      <c r="C236" s="214" t="str">
        <f>DATE!B87</f>
        <v>dec-26</v>
      </c>
      <c r="E236" s="19"/>
      <c r="Q236" s="17"/>
      <c r="AA236" s="16"/>
    </row>
  </sheetData>
  <sheetProtection algorithmName="SHA-512" hashValue="GRyzBBGMB022F8KVCAKmqZADNstWm1yEcDO237087mkXKXpnXzeePQWFt+4b2bILXlaL6dPQdzobsJgngSQZcQ==" saltValue="yhQAYDBorqJzW55n1n+jsA==" spinCount="100000" sheet="1" selectLockedCells="1"/>
  <customSheetViews>
    <customSheetView guid="{87CD69FC-848B-40E1-91A8-CCF9DCB9DDC8}" showPageBreaks="1" printArea="1" hiddenRows="1" hiddenColumns="1" topLeftCell="L1">
      <selection activeCell="D12" sqref="D12:G12"/>
      <pageMargins left="0.22" right="0.2" top="0.27" bottom="0.3" header="0.21" footer="0.18"/>
      <pageSetup paperSize="9" orientation="landscape" r:id="rId1"/>
    </customSheetView>
    <customSheetView guid="{1D305916-1627-405A-9CD6-E1762D8CFD35}" hiddenRows="1" hiddenColumns="1" topLeftCell="C1">
      <selection activeCell="Q1" sqref="Q1"/>
      <pageMargins left="0.22" right="0.2" top="0.27" bottom="0.3" header="0.21" footer="0.18"/>
      <pageSetup paperSize="9" orientation="landscape" r:id="rId2"/>
    </customSheetView>
  </customSheetViews>
  <mergeCells count="106">
    <mergeCell ref="W4:Z4"/>
    <mergeCell ref="O17:P17"/>
    <mergeCell ref="J10:O10"/>
    <mergeCell ref="F118:G118"/>
    <mergeCell ref="L39:P39"/>
    <mergeCell ref="H29:I29"/>
    <mergeCell ref="H30:I30"/>
    <mergeCell ref="D7:I7"/>
    <mergeCell ref="H42:I42"/>
    <mergeCell ref="D42:D43"/>
    <mergeCell ref="H62:I62"/>
    <mergeCell ref="H45:I45"/>
    <mergeCell ref="H46:I46"/>
    <mergeCell ref="H47:I47"/>
    <mergeCell ref="H48:I48"/>
    <mergeCell ref="H60:I60"/>
    <mergeCell ref="H58:I58"/>
    <mergeCell ref="H51:I51"/>
    <mergeCell ref="H61:I61"/>
    <mergeCell ref="O22:P22"/>
    <mergeCell ref="O23:P23"/>
    <mergeCell ref="H31:I31"/>
    <mergeCell ref="H53:I53"/>
    <mergeCell ref="H59:I59"/>
    <mergeCell ref="H56:I56"/>
    <mergeCell ref="H57:I57"/>
    <mergeCell ref="J11:O11"/>
    <mergeCell ref="J12:O12"/>
    <mergeCell ref="N28:O28"/>
    <mergeCell ref="N29:O29"/>
    <mergeCell ref="N30:O30"/>
    <mergeCell ref="N31:O31"/>
    <mergeCell ref="N32:O32"/>
    <mergeCell ref="H52:I52"/>
    <mergeCell ref="H28:I28"/>
    <mergeCell ref="D11:H11"/>
    <mergeCell ref="D12:H12"/>
    <mergeCell ref="D23:F23"/>
    <mergeCell ref="D17:G17"/>
    <mergeCell ref="D18:G18"/>
    <mergeCell ref="D19:G19"/>
    <mergeCell ref="C41:P41"/>
    <mergeCell ref="D22:F22"/>
    <mergeCell ref="O33:P34"/>
    <mergeCell ref="H32:I32"/>
    <mergeCell ref="H44:I44"/>
    <mergeCell ref="E42:E43"/>
    <mergeCell ref="G42:G43"/>
    <mergeCell ref="V33:W34"/>
    <mergeCell ref="H54:I54"/>
    <mergeCell ref="H55:I55"/>
    <mergeCell ref="H50:I50"/>
    <mergeCell ref="H49:I49"/>
    <mergeCell ref="H25:I25"/>
    <mergeCell ref="H27:I27"/>
    <mergeCell ref="P25:P26"/>
    <mergeCell ref="J42:J43"/>
    <mergeCell ref="L42:L43"/>
    <mergeCell ref="P42:P43"/>
    <mergeCell ref="N25:O25"/>
    <mergeCell ref="N26:O26"/>
    <mergeCell ref="N27:O27"/>
    <mergeCell ref="N45:O45"/>
    <mergeCell ref="N46:O46"/>
    <mergeCell ref="N47:O47"/>
    <mergeCell ref="D2:E2"/>
    <mergeCell ref="D15:G15"/>
    <mergeCell ref="D16:G16"/>
    <mergeCell ref="D8:I8"/>
    <mergeCell ref="C5:P5"/>
    <mergeCell ref="E25:E26"/>
    <mergeCell ref="L25:L26"/>
    <mergeCell ref="J25:J26"/>
    <mergeCell ref="G25:G26"/>
    <mergeCell ref="D25:D26"/>
    <mergeCell ref="D10:H10"/>
    <mergeCell ref="J2:P2"/>
    <mergeCell ref="D9:O9"/>
    <mergeCell ref="O18:P18"/>
    <mergeCell ref="O19:P19"/>
    <mergeCell ref="O21:P21"/>
    <mergeCell ref="D21:F21"/>
    <mergeCell ref="N56:O56"/>
    <mergeCell ref="N53:O53"/>
    <mergeCell ref="N54:O54"/>
    <mergeCell ref="N61:O61"/>
    <mergeCell ref="N62:O62"/>
    <mergeCell ref="J17:N17"/>
    <mergeCell ref="J18:N18"/>
    <mergeCell ref="J19:N19"/>
    <mergeCell ref="J21:N21"/>
    <mergeCell ref="J22:N22"/>
    <mergeCell ref="J23:N23"/>
    <mergeCell ref="N48:O48"/>
    <mergeCell ref="N57:O57"/>
    <mergeCell ref="N58:O58"/>
    <mergeCell ref="N59:O59"/>
    <mergeCell ref="N60:O60"/>
    <mergeCell ref="N49:O49"/>
    <mergeCell ref="N50:O50"/>
    <mergeCell ref="N51:O51"/>
    <mergeCell ref="N52:O52"/>
    <mergeCell ref="N55:O55"/>
    <mergeCell ref="N42:O42"/>
    <mergeCell ref="N43:O43"/>
    <mergeCell ref="N44:O44"/>
  </mergeCells>
  <conditionalFormatting sqref="J27:J32">
    <cfRule type="expression" dxfId="17" priority="6" stopIfTrue="1">
      <formula>H27="-Select-"</formula>
    </cfRule>
  </conditionalFormatting>
  <conditionalFormatting sqref="J44:J62">
    <cfRule type="expression" dxfId="16" priority="2" stopIfTrue="1">
      <formula>H44="-Select-"</formula>
    </cfRule>
  </conditionalFormatting>
  <conditionalFormatting sqref="L27:L32">
    <cfRule type="expression" dxfId="15" priority="11" stopIfTrue="1">
      <formula>K27="-Select-"</formula>
    </cfRule>
  </conditionalFormatting>
  <conditionalFormatting sqref="L44:L62">
    <cfRule type="expression" dxfId="14" priority="1" stopIfTrue="1">
      <formula>K44="-Select-"</formula>
    </cfRule>
  </conditionalFormatting>
  <conditionalFormatting sqref="M27:N32">
    <cfRule type="expression" dxfId="13" priority="34" stopIfTrue="1">
      <formula>K27="Yes"</formula>
    </cfRule>
  </conditionalFormatting>
  <conditionalFormatting sqref="M44:N62">
    <cfRule type="expression" dxfId="12" priority="7" stopIfTrue="1">
      <formula>K44="Yes"</formula>
    </cfRule>
  </conditionalFormatting>
  <conditionalFormatting sqref="U25:U32">
    <cfRule type="expression" dxfId="11" priority="5" stopIfTrue="1">
      <formula>W25="Yes"</formula>
    </cfRule>
  </conditionalFormatting>
  <conditionalFormatting sqref="U42:U62">
    <cfRule type="expression" dxfId="10" priority="3" stopIfTrue="1">
      <formula>W42="Yes"</formula>
    </cfRule>
  </conditionalFormatting>
  <conditionalFormatting sqref="V27:V32">
    <cfRule type="expression" dxfId="9" priority="18" stopIfTrue="1">
      <formula>X27="Yes"</formula>
    </cfRule>
  </conditionalFormatting>
  <conditionalFormatting sqref="V44:V62">
    <cfRule type="expression" dxfId="8" priority="16" stopIfTrue="1">
      <formula>X44="Yes"</formula>
    </cfRule>
  </conditionalFormatting>
  <conditionalFormatting sqref="W27:W32">
    <cfRule type="expression" dxfId="7" priority="17" stopIfTrue="1">
      <formula>X27="Yes"</formula>
    </cfRule>
  </conditionalFormatting>
  <conditionalFormatting sqref="W44:W62">
    <cfRule type="expression" dxfId="6" priority="15" stopIfTrue="1">
      <formula>X44="Yes"</formula>
    </cfRule>
  </conditionalFormatting>
  <conditionalFormatting sqref="X27:X32">
    <cfRule type="expression" dxfId="5" priority="14" stopIfTrue="1">
      <formula>X27="Yes"</formula>
    </cfRule>
  </conditionalFormatting>
  <conditionalFormatting sqref="X44:X62">
    <cfRule type="expression" dxfId="4" priority="13" stopIfTrue="1">
      <formula>X44="Yes"</formula>
    </cfRule>
  </conditionalFormatting>
  <conditionalFormatting sqref="Y27:Y32">
    <cfRule type="expression" dxfId="3" priority="22" stopIfTrue="1">
      <formula>X27="Yes"</formula>
    </cfRule>
  </conditionalFormatting>
  <conditionalFormatting sqref="Y28:Y32">
    <cfRule type="expression" dxfId="2" priority="21" stopIfTrue="1">
      <formula>X28="Yes"</formula>
    </cfRule>
  </conditionalFormatting>
  <conditionalFormatting sqref="Y44:Y62">
    <cfRule type="expression" dxfId="1" priority="19" stopIfTrue="1">
      <formula>X44="Yes"</formula>
    </cfRule>
    <cfRule type="expression" dxfId="0" priority="20" stopIfTrue="1">
      <formula>X44="Yes"</formula>
    </cfRule>
  </conditionalFormatting>
  <dataValidations count="6">
    <dataValidation type="list" allowBlank="1" showInputMessage="1" showErrorMessage="1" sqref="G44:G62 G27:G32" xr:uid="{00000000-0002-0000-0000-000000000000}">
      <formula1>$C$121:$C$133</formula1>
    </dataValidation>
    <dataValidation type="list" allowBlank="1" showInputMessage="1" showErrorMessage="1" sqref="J27:J32 J44:J62 L44:L62 L27:L32" xr:uid="{00000000-0002-0000-0000-000001000000}">
      <formula1>$E$121:$E$123</formula1>
    </dataValidation>
    <dataValidation type="list" allowBlank="1" showInputMessage="1" showErrorMessage="1" sqref="X27:X32 X44:X62" xr:uid="{00000000-0002-0000-0000-000002000000}">
      <formula1>$X$35:$X$36</formula1>
    </dataValidation>
    <dataValidation type="list" allowBlank="1" showInputMessage="1" showErrorMessage="1" sqref="F44:F62 F27:F32" xr:uid="{00000000-0002-0000-0000-000003000000}">
      <formula1>$C$152:$C$236</formula1>
    </dataValidation>
    <dataValidation type="list" allowBlank="1" showInputMessage="1" showErrorMessage="1" sqref="D2:E2" xr:uid="{00000000-0002-0000-0000-000004000000}">
      <formula1>$F$121:$F$131</formula1>
    </dataValidation>
    <dataValidation type="list" allowBlank="1" showInputMessage="1" showErrorMessage="1" sqref="W4:Z4" xr:uid="{00000000-0002-0000-0000-000005000000}">
      <formula1>$I$121:$I$136</formula1>
    </dataValidation>
  </dataValidations>
  <hyperlinks>
    <hyperlink ref="W11" r:id="rId3" xr:uid="{00000000-0004-0000-0000-000002000000}"/>
    <hyperlink ref="W9" r:id="rId4" xr:uid="{00000000-0004-0000-0000-000001000000}"/>
    <hyperlink ref="W7" r:id="rId5" xr:uid="{00000000-0004-0000-0000-000000000000}"/>
  </hyperlinks>
  <pageMargins left="0.22" right="0.2" top="0.27" bottom="0.3" header="0.21" footer="0.18"/>
  <pageSetup paperSize="9" orientation="landscape" r:id="rId6"/>
  <ignoredErrors>
    <ignoredError sqref="G44:G62 G29:G32 J29:K32 J44:K62 K27 K28" unlockedFormula="1"/>
    <ignoredError sqref="T45:T62 T28:T32 T44 R44:S62 R28:S32" evalError="1"/>
    <ignoredError sqref="L44:L62 L29:L32" formula="1" unlockedFormula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workbookViewId="0">
      <pane xSplit="2" ySplit="1" topLeftCell="J2" activePane="bottomRight" state="frozenSplit"/>
      <selection pane="topRight" activeCell="C1" sqref="C1"/>
      <selection pane="bottomLeft"/>
      <selection pane="bottomRight" activeCell="C1" sqref="C1"/>
    </sheetView>
  </sheetViews>
  <sheetFormatPr defaultColWidth="0" defaultRowHeight="14.25" x14ac:dyDescent="0.2"/>
  <cols>
    <col min="1" max="1" width="2.875" bestFit="1" customWidth="1"/>
    <col min="2" max="3" width="48.25" style="160" customWidth="1"/>
    <col min="4" max="7" width="48.25" style="92" customWidth="1"/>
    <col min="8" max="12" width="48.25" customWidth="1"/>
    <col min="13" max="16384" width="9" hidden="1"/>
  </cols>
  <sheetData>
    <row r="1" spans="1:12" ht="15.75" thickBot="1" x14ac:dyDescent="0.3">
      <c r="A1" s="145">
        <v>1</v>
      </c>
      <c r="B1" s="158" t="s">
        <v>120</v>
      </c>
      <c r="C1" s="158" t="s">
        <v>121</v>
      </c>
      <c r="D1" s="144" t="s">
        <v>122</v>
      </c>
      <c r="E1" s="158" t="s">
        <v>369</v>
      </c>
      <c r="F1" s="144" t="s">
        <v>123</v>
      </c>
      <c r="G1" s="144" t="s">
        <v>124</v>
      </c>
      <c r="H1" s="188" t="s">
        <v>125</v>
      </c>
      <c r="I1" s="188" t="s">
        <v>471</v>
      </c>
      <c r="J1" s="188" t="s">
        <v>666</v>
      </c>
      <c r="K1" s="177" t="s">
        <v>265</v>
      </c>
      <c r="L1" s="158" t="s">
        <v>708</v>
      </c>
    </row>
    <row r="2" spans="1:12" ht="15" customHeight="1" x14ac:dyDescent="0.2">
      <c r="A2" s="145">
        <v>2</v>
      </c>
      <c r="B2" s="84" t="s">
        <v>41</v>
      </c>
      <c r="C2" s="161" t="s">
        <v>413</v>
      </c>
      <c r="D2" s="135" t="s">
        <v>219</v>
      </c>
      <c r="E2" s="84" t="s">
        <v>415</v>
      </c>
      <c r="F2" s="166" t="s">
        <v>346</v>
      </c>
      <c r="G2" s="155" t="s">
        <v>511</v>
      </c>
      <c r="H2" s="189" t="s">
        <v>298</v>
      </c>
      <c r="I2" s="204" t="s">
        <v>510</v>
      </c>
      <c r="J2" s="204" t="s">
        <v>620</v>
      </c>
      <c r="K2" s="178" t="s">
        <v>266</v>
      </c>
      <c r="L2" s="84" t="s">
        <v>709</v>
      </c>
    </row>
    <row r="3" spans="1:12" x14ac:dyDescent="0.2">
      <c r="A3" s="145">
        <v>3</v>
      </c>
      <c r="B3" s="85" t="s">
        <v>17</v>
      </c>
      <c r="C3" s="162" t="s">
        <v>414</v>
      </c>
      <c r="D3" s="136" t="s">
        <v>220</v>
      </c>
      <c r="E3" s="85" t="s">
        <v>370</v>
      </c>
      <c r="F3" s="167" t="s">
        <v>177</v>
      </c>
      <c r="G3" s="136" t="s">
        <v>433</v>
      </c>
      <c r="H3" s="190" t="s">
        <v>299</v>
      </c>
      <c r="I3" s="190" t="s">
        <v>472</v>
      </c>
      <c r="J3" s="190" t="s">
        <v>621</v>
      </c>
      <c r="K3" s="162" t="s">
        <v>267</v>
      </c>
      <c r="L3" s="85" t="s">
        <v>710</v>
      </c>
    </row>
    <row r="4" spans="1:12" x14ac:dyDescent="0.2">
      <c r="A4" s="145">
        <v>4</v>
      </c>
      <c r="B4" s="85" t="s">
        <v>58</v>
      </c>
      <c r="C4" s="162" t="s">
        <v>126</v>
      </c>
      <c r="D4" s="154" t="s">
        <v>344</v>
      </c>
      <c r="E4" s="175" t="s">
        <v>401</v>
      </c>
      <c r="F4" s="167" t="s">
        <v>178</v>
      </c>
      <c r="G4" s="154" t="s">
        <v>459</v>
      </c>
      <c r="H4" s="190" t="s">
        <v>300</v>
      </c>
      <c r="I4" s="205" t="s">
        <v>509</v>
      </c>
      <c r="J4" s="205" t="s">
        <v>667</v>
      </c>
      <c r="K4" s="179" t="s">
        <v>345</v>
      </c>
      <c r="L4" s="85" t="s">
        <v>711</v>
      </c>
    </row>
    <row r="5" spans="1:12" x14ac:dyDescent="0.2">
      <c r="A5" s="145">
        <v>5</v>
      </c>
      <c r="B5" s="85" t="s">
        <v>18</v>
      </c>
      <c r="C5" s="162" t="s">
        <v>18</v>
      </c>
      <c r="D5" s="136" t="s">
        <v>221</v>
      </c>
      <c r="E5" s="85" t="s">
        <v>371</v>
      </c>
      <c r="F5" s="167" t="s">
        <v>179</v>
      </c>
      <c r="G5" s="136" t="s">
        <v>434</v>
      </c>
      <c r="H5" s="190" t="s">
        <v>301</v>
      </c>
      <c r="I5" s="190" t="s">
        <v>473</v>
      </c>
      <c r="J5" s="190" t="s">
        <v>622</v>
      </c>
      <c r="K5" s="162" t="s">
        <v>774</v>
      </c>
      <c r="L5" s="85" t="s">
        <v>712</v>
      </c>
    </row>
    <row r="6" spans="1:12" x14ac:dyDescent="0.2">
      <c r="A6" s="145">
        <v>6</v>
      </c>
      <c r="B6" s="85" t="s">
        <v>19</v>
      </c>
      <c r="C6" s="162" t="s">
        <v>127</v>
      </c>
      <c r="D6" s="136" t="s">
        <v>222</v>
      </c>
      <c r="E6" s="85" t="s">
        <v>372</v>
      </c>
      <c r="F6" s="167" t="s">
        <v>347</v>
      </c>
      <c r="G6" s="136" t="s">
        <v>512</v>
      </c>
      <c r="H6" s="190" t="s">
        <v>302</v>
      </c>
      <c r="I6" s="190" t="s">
        <v>474</v>
      </c>
      <c r="J6" s="190" t="s">
        <v>623</v>
      </c>
      <c r="K6" s="162" t="s">
        <v>268</v>
      </c>
      <c r="L6" s="85" t="s">
        <v>713</v>
      </c>
    </row>
    <row r="7" spans="1:12" x14ac:dyDescent="0.2">
      <c r="A7" s="145">
        <v>7</v>
      </c>
      <c r="B7" s="85" t="s">
        <v>20</v>
      </c>
      <c r="C7" s="162" t="s">
        <v>128</v>
      </c>
      <c r="D7" s="136" t="s">
        <v>223</v>
      </c>
      <c r="E7" s="85" t="s">
        <v>373</v>
      </c>
      <c r="F7" s="167" t="s">
        <v>180</v>
      </c>
      <c r="G7" s="136" t="s">
        <v>513</v>
      </c>
      <c r="H7" s="190" t="s">
        <v>303</v>
      </c>
      <c r="I7" s="190" t="s">
        <v>475</v>
      </c>
      <c r="J7" s="190" t="s">
        <v>624</v>
      </c>
      <c r="K7" s="162" t="s">
        <v>269</v>
      </c>
      <c r="L7" s="85" t="s">
        <v>714</v>
      </c>
    </row>
    <row r="8" spans="1:12" x14ac:dyDescent="0.2">
      <c r="A8" s="145">
        <v>8</v>
      </c>
      <c r="B8" s="85" t="s">
        <v>21</v>
      </c>
      <c r="C8" s="162" t="s">
        <v>129</v>
      </c>
      <c r="D8" s="136" t="s">
        <v>224</v>
      </c>
      <c r="E8" s="85" t="s">
        <v>374</v>
      </c>
      <c r="F8" s="167" t="s">
        <v>348</v>
      </c>
      <c r="G8" s="136" t="s">
        <v>435</v>
      </c>
      <c r="H8" s="190" t="s">
        <v>304</v>
      </c>
      <c r="I8" s="190" t="s">
        <v>476</v>
      </c>
      <c r="J8" s="190" t="s">
        <v>625</v>
      </c>
      <c r="K8" s="162" t="s">
        <v>270</v>
      </c>
      <c r="L8" s="85" t="s">
        <v>715</v>
      </c>
    </row>
    <row r="9" spans="1:12" x14ac:dyDescent="0.2">
      <c r="A9" s="145">
        <v>9</v>
      </c>
      <c r="B9" s="85" t="s">
        <v>22</v>
      </c>
      <c r="C9" s="162" t="s">
        <v>130</v>
      </c>
      <c r="D9" s="136" t="s">
        <v>225</v>
      </c>
      <c r="E9" s="85" t="s">
        <v>375</v>
      </c>
      <c r="F9" s="167" t="s">
        <v>349</v>
      </c>
      <c r="G9" s="136" t="s">
        <v>436</v>
      </c>
      <c r="H9" s="190" t="s">
        <v>305</v>
      </c>
      <c r="I9" s="190" t="s">
        <v>477</v>
      </c>
      <c r="J9" s="190" t="s">
        <v>626</v>
      </c>
      <c r="K9" s="162" t="s">
        <v>775</v>
      </c>
      <c r="L9" s="85" t="s">
        <v>716</v>
      </c>
    </row>
    <row r="10" spans="1:12" x14ac:dyDescent="0.2">
      <c r="A10" s="145">
        <v>10</v>
      </c>
      <c r="B10" s="85" t="s">
        <v>23</v>
      </c>
      <c r="C10" s="162" t="s">
        <v>131</v>
      </c>
      <c r="D10" s="136" t="s">
        <v>226</v>
      </c>
      <c r="E10" s="85" t="s">
        <v>376</v>
      </c>
      <c r="F10" s="167" t="s">
        <v>181</v>
      </c>
      <c r="G10" s="136" t="s">
        <v>437</v>
      </c>
      <c r="H10" s="190" t="s">
        <v>306</v>
      </c>
      <c r="I10" s="190" t="s">
        <v>478</v>
      </c>
      <c r="J10" s="190" t="s">
        <v>627</v>
      </c>
      <c r="K10" s="162" t="s">
        <v>271</v>
      </c>
      <c r="L10" s="85" t="s">
        <v>717</v>
      </c>
    </row>
    <row r="11" spans="1:12" x14ac:dyDescent="0.2">
      <c r="A11" s="145">
        <v>11</v>
      </c>
      <c r="B11" s="85" t="s">
        <v>24</v>
      </c>
      <c r="C11" s="162" t="s">
        <v>132</v>
      </c>
      <c r="D11" s="136" t="s">
        <v>227</v>
      </c>
      <c r="E11" s="85" t="s">
        <v>377</v>
      </c>
      <c r="F11" s="167" t="s">
        <v>350</v>
      </c>
      <c r="G11" s="136" t="s">
        <v>438</v>
      </c>
      <c r="H11" s="190" t="s">
        <v>307</v>
      </c>
      <c r="I11" s="190" t="s">
        <v>479</v>
      </c>
      <c r="J11" s="190" t="s">
        <v>628</v>
      </c>
      <c r="K11" s="162" t="s">
        <v>272</v>
      </c>
      <c r="L11" s="85" t="s">
        <v>718</v>
      </c>
    </row>
    <row r="12" spans="1:12" x14ac:dyDescent="0.2">
      <c r="A12" s="145">
        <v>12</v>
      </c>
      <c r="B12" s="85" t="s">
        <v>25</v>
      </c>
      <c r="C12" s="162" t="s">
        <v>133</v>
      </c>
      <c r="D12" s="136" t="s">
        <v>228</v>
      </c>
      <c r="E12" s="85" t="s">
        <v>378</v>
      </c>
      <c r="F12" s="167" t="s">
        <v>351</v>
      </c>
      <c r="G12" s="136" t="s">
        <v>439</v>
      </c>
      <c r="H12" s="190" t="s">
        <v>308</v>
      </c>
      <c r="I12" s="190" t="s">
        <v>480</v>
      </c>
      <c r="J12" s="190" t="s">
        <v>629</v>
      </c>
      <c r="K12" s="162" t="s">
        <v>273</v>
      </c>
      <c r="L12" s="85" t="s">
        <v>719</v>
      </c>
    </row>
    <row r="13" spans="1:12" x14ac:dyDescent="0.2">
      <c r="A13" s="145">
        <v>13</v>
      </c>
      <c r="B13" s="85" t="s">
        <v>26</v>
      </c>
      <c r="C13" s="162" t="s">
        <v>134</v>
      </c>
      <c r="D13" s="136" t="s">
        <v>229</v>
      </c>
      <c r="E13" s="85" t="s">
        <v>379</v>
      </c>
      <c r="F13" s="167" t="s">
        <v>182</v>
      </c>
      <c r="G13" s="136" t="s">
        <v>440</v>
      </c>
      <c r="H13" s="190" t="s">
        <v>309</v>
      </c>
      <c r="I13" s="190" t="s">
        <v>481</v>
      </c>
      <c r="J13" s="190" t="s">
        <v>630</v>
      </c>
      <c r="K13" s="162" t="s">
        <v>274</v>
      </c>
      <c r="L13" s="85" t="s">
        <v>720</v>
      </c>
    </row>
    <row r="14" spans="1:12" x14ac:dyDescent="0.2">
      <c r="A14" s="145">
        <v>14</v>
      </c>
      <c r="B14" s="85" t="s">
        <v>27</v>
      </c>
      <c r="C14" s="162" t="s">
        <v>135</v>
      </c>
      <c r="D14" s="136" t="s">
        <v>230</v>
      </c>
      <c r="E14" s="85" t="s">
        <v>380</v>
      </c>
      <c r="F14" s="167" t="s">
        <v>352</v>
      </c>
      <c r="G14" s="136" t="s">
        <v>441</v>
      </c>
      <c r="H14" s="190" t="s">
        <v>310</v>
      </c>
      <c r="I14" s="190" t="s">
        <v>482</v>
      </c>
      <c r="J14" s="190" t="s">
        <v>631</v>
      </c>
      <c r="K14" s="162" t="s">
        <v>275</v>
      </c>
      <c r="L14" s="85" t="s">
        <v>720</v>
      </c>
    </row>
    <row r="15" spans="1:12" x14ac:dyDescent="0.2">
      <c r="A15" s="145">
        <v>15</v>
      </c>
      <c r="B15" s="85" t="s">
        <v>28</v>
      </c>
      <c r="C15" s="162" t="s">
        <v>136</v>
      </c>
      <c r="D15" s="136" t="s">
        <v>231</v>
      </c>
      <c r="E15" s="85" t="s">
        <v>381</v>
      </c>
      <c r="F15" s="167" t="s">
        <v>353</v>
      </c>
      <c r="G15" s="136" t="s">
        <v>442</v>
      </c>
      <c r="H15" s="190" t="s">
        <v>311</v>
      </c>
      <c r="I15" s="190" t="s">
        <v>483</v>
      </c>
      <c r="J15" s="190" t="s">
        <v>632</v>
      </c>
      <c r="K15" s="162" t="s">
        <v>276</v>
      </c>
      <c r="L15" s="85" t="s">
        <v>721</v>
      </c>
    </row>
    <row r="16" spans="1:12" x14ac:dyDescent="0.2">
      <c r="A16" s="145">
        <v>16</v>
      </c>
      <c r="B16" s="85" t="s">
        <v>6</v>
      </c>
      <c r="C16" s="162" t="s">
        <v>137</v>
      </c>
      <c r="D16" s="136" t="s">
        <v>232</v>
      </c>
      <c r="E16" s="85" t="s">
        <v>382</v>
      </c>
      <c r="F16" s="167" t="s">
        <v>354</v>
      </c>
      <c r="G16" s="136" t="s">
        <v>443</v>
      </c>
      <c r="H16" s="190" t="s">
        <v>312</v>
      </c>
      <c r="I16" s="190" t="s">
        <v>484</v>
      </c>
      <c r="J16" s="190" t="s">
        <v>633</v>
      </c>
      <c r="K16" s="162" t="s">
        <v>277</v>
      </c>
      <c r="L16" s="85" t="s">
        <v>722</v>
      </c>
    </row>
    <row r="17" spans="1:12" x14ac:dyDescent="0.2">
      <c r="A17" s="145">
        <v>17</v>
      </c>
      <c r="B17" s="86" t="s">
        <v>0</v>
      </c>
      <c r="C17" s="163" t="s">
        <v>138</v>
      </c>
      <c r="D17" s="137" t="s">
        <v>233</v>
      </c>
      <c r="E17" s="86" t="s">
        <v>383</v>
      </c>
      <c r="F17" s="168" t="s">
        <v>355</v>
      </c>
      <c r="G17" s="137" t="s">
        <v>444</v>
      </c>
      <c r="H17" s="191" t="s">
        <v>313</v>
      </c>
      <c r="I17" s="191" t="s">
        <v>485</v>
      </c>
      <c r="J17" s="191" t="s">
        <v>634</v>
      </c>
      <c r="K17" s="163" t="s">
        <v>278</v>
      </c>
      <c r="L17" s="86" t="s">
        <v>723</v>
      </c>
    </row>
    <row r="18" spans="1:12" x14ac:dyDescent="0.2">
      <c r="A18" s="145">
        <v>18</v>
      </c>
      <c r="B18" s="86" t="s">
        <v>58</v>
      </c>
      <c r="C18" s="163" t="s">
        <v>126</v>
      </c>
      <c r="D18" s="137" t="s">
        <v>344</v>
      </c>
      <c r="E18" s="176" t="s">
        <v>401</v>
      </c>
      <c r="F18" s="168" t="s">
        <v>178</v>
      </c>
      <c r="G18" s="137" t="s">
        <v>459</v>
      </c>
      <c r="H18" s="191" t="s">
        <v>300</v>
      </c>
      <c r="I18" s="191" t="s">
        <v>509</v>
      </c>
      <c r="J18" s="191" t="s">
        <v>667</v>
      </c>
      <c r="K18" s="163" t="s">
        <v>345</v>
      </c>
      <c r="L18" s="86" t="s">
        <v>711</v>
      </c>
    </row>
    <row r="19" spans="1:12" x14ac:dyDescent="0.2">
      <c r="A19" s="145">
        <v>19</v>
      </c>
      <c r="B19" s="86" t="s">
        <v>7</v>
      </c>
      <c r="C19" s="163" t="s">
        <v>139</v>
      </c>
      <c r="D19" s="137" t="s">
        <v>234</v>
      </c>
      <c r="E19" s="86" t="s">
        <v>384</v>
      </c>
      <c r="F19" s="168" t="s">
        <v>183</v>
      </c>
      <c r="G19" s="137" t="s">
        <v>139</v>
      </c>
      <c r="H19" s="191" t="s">
        <v>314</v>
      </c>
      <c r="I19" s="191" t="s">
        <v>139</v>
      </c>
      <c r="J19" s="191" t="s">
        <v>635</v>
      </c>
      <c r="K19" s="163" t="s">
        <v>139</v>
      </c>
      <c r="L19" s="86" t="s">
        <v>724</v>
      </c>
    </row>
    <row r="20" spans="1:12" x14ac:dyDescent="0.2">
      <c r="A20" s="145">
        <v>20</v>
      </c>
      <c r="B20" s="86" t="s">
        <v>8</v>
      </c>
      <c r="C20" s="163" t="s">
        <v>140</v>
      </c>
      <c r="D20" s="137" t="s">
        <v>8</v>
      </c>
      <c r="E20" s="86" t="s">
        <v>385</v>
      </c>
      <c r="F20" s="168" t="s">
        <v>184</v>
      </c>
      <c r="G20" s="137" t="s">
        <v>445</v>
      </c>
      <c r="H20" s="191" t="s">
        <v>8</v>
      </c>
      <c r="I20" s="191" t="s">
        <v>486</v>
      </c>
      <c r="J20" s="191" t="s">
        <v>636</v>
      </c>
      <c r="K20" s="163" t="s">
        <v>279</v>
      </c>
      <c r="L20" s="86" t="s">
        <v>725</v>
      </c>
    </row>
    <row r="21" spans="1:12" x14ac:dyDescent="0.2">
      <c r="A21" s="145">
        <v>21</v>
      </c>
      <c r="B21" s="87" t="s">
        <v>1</v>
      </c>
      <c r="C21" s="164" t="s">
        <v>141</v>
      </c>
      <c r="D21" s="138" t="s">
        <v>235</v>
      </c>
      <c r="E21" s="87" t="s">
        <v>386</v>
      </c>
      <c r="F21" s="169" t="s">
        <v>356</v>
      </c>
      <c r="G21" s="138" t="s">
        <v>446</v>
      </c>
      <c r="H21" s="192" t="s">
        <v>315</v>
      </c>
      <c r="I21" s="192" t="s">
        <v>487</v>
      </c>
      <c r="J21" s="192" t="s">
        <v>637</v>
      </c>
      <c r="K21" s="164" t="s">
        <v>280</v>
      </c>
      <c r="L21" s="87" t="s">
        <v>726</v>
      </c>
    </row>
    <row r="22" spans="1:12" x14ac:dyDescent="0.2">
      <c r="A22" s="145">
        <v>22</v>
      </c>
      <c r="B22" s="87" t="s">
        <v>58</v>
      </c>
      <c r="C22" s="164" t="s">
        <v>126</v>
      </c>
      <c r="D22" s="138" t="s">
        <v>344</v>
      </c>
      <c r="E22" s="87" t="s">
        <v>401</v>
      </c>
      <c r="F22" s="169" t="s">
        <v>178</v>
      </c>
      <c r="G22" s="138" t="s">
        <v>459</v>
      </c>
      <c r="H22" s="192" t="s">
        <v>300</v>
      </c>
      <c r="I22" s="192" t="s">
        <v>509</v>
      </c>
      <c r="J22" s="192" t="s">
        <v>667</v>
      </c>
      <c r="K22" s="164" t="s">
        <v>345</v>
      </c>
      <c r="L22" s="87" t="s">
        <v>711</v>
      </c>
    </row>
    <row r="23" spans="1:12" x14ac:dyDescent="0.2">
      <c r="A23" s="145">
        <v>23</v>
      </c>
      <c r="B23" s="87" t="s">
        <v>7</v>
      </c>
      <c r="C23" s="164" t="s">
        <v>139</v>
      </c>
      <c r="D23" s="138" t="s">
        <v>234</v>
      </c>
      <c r="E23" s="87" t="s">
        <v>384</v>
      </c>
      <c r="F23" s="169" t="s">
        <v>183</v>
      </c>
      <c r="G23" s="138" t="s">
        <v>139</v>
      </c>
      <c r="H23" s="192" t="s">
        <v>314</v>
      </c>
      <c r="I23" s="192" t="s">
        <v>139</v>
      </c>
      <c r="J23" s="192" t="s">
        <v>635</v>
      </c>
      <c r="K23" s="164" t="s">
        <v>139</v>
      </c>
      <c r="L23" s="87" t="s">
        <v>724</v>
      </c>
    </row>
    <row r="24" spans="1:12" x14ac:dyDescent="0.2">
      <c r="A24" s="145">
        <v>24</v>
      </c>
      <c r="B24" s="87" t="s">
        <v>8</v>
      </c>
      <c r="C24" s="164" t="s">
        <v>140</v>
      </c>
      <c r="D24" s="138" t="s">
        <v>8</v>
      </c>
      <c r="E24" s="87" t="s">
        <v>385</v>
      </c>
      <c r="F24" s="169" t="s">
        <v>184</v>
      </c>
      <c r="G24" s="138" t="s">
        <v>445</v>
      </c>
      <c r="H24" s="192" t="s">
        <v>8</v>
      </c>
      <c r="I24" s="192" t="s">
        <v>486</v>
      </c>
      <c r="J24" s="192" t="s">
        <v>636</v>
      </c>
      <c r="K24" s="164" t="s">
        <v>279</v>
      </c>
      <c r="L24" s="87" t="s">
        <v>725</v>
      </c>
    </row>
    <row r="25" spans="1:12" x14ac:dyDescent="0.2">
      <c r="A25" s="145">
        <v>25</v>
      </c>
      <c r="B25" s="67" t="s">
        <v>142</v>
      </c>
      <c r="C25" s="67" t="s">
        <v>143</v>
      </c>
      <c r="D25" s="139" t="s">
        <v>236</v>
      </c>
      <c r="E25" s="67" t="s">
        <v>387</v>
      </c>
      <c r="F25" s="170" t="s">
        <v>185</v>
      </c>
      <c r="G25" s="139" t="s">
        <v>447</v>
      </c>
      <c r="H25" s="193" t="s">
        <v>316</v>
      </c>
      <c r="I25" s="193" t="s">
        <v>488</v>
      </c>
      <c r="J25" s="193" t="s">
        <v>638</v>
      </c>
      <c r="K25" s="180" t="s">
        <v>281</v>
      </c>
      <c r="L25" s="67" t="s">
        <v>727</v>
      </c>
    </row>
    <row r="26" spans="1:12" ht="28.5" x14ac:dyDescent="0.2">
      <c r="A26" s="145">
        <v>26</v>
      </c>
      <c r="B26" s="67" t="s">
        <v>1023</v>
      </c>
      <c r="C26" s="67" t="s">
        <v>1024</v>
      </c>
      <c r="D26" s="139" t="s">
        <v>1025</v>
      </c>
      <c r="E26" s="67" t="s">
        <v>1026</v>
      </c>
      <c r="F26" s="170" t="s">
        <v>1027</v>
      </c>
      <c r="G26" s="139" t="s">
        <v>1028</v>
      </c>
      <c r="H26" s="194" t="s">
        <v>1029</v>
      </c>
      <c r="I26" s="194" t="s">
        <v>1030</v>
      </c>
      <c r="J26" s="194" t="s">
        <v>1031</v>
      </c>
      <c r="K26" s="67" t="s">
        <v>1032</v>
      </c>
      <c r="L26" s="67" t="s">
        <v>1022</v>
      </c>
    </row>
    <row r="27" spans="1:12" x14ac:dyDescent="0.2">
      <c r="A27" s="145">
        <v>27</v>
      </c>
      <c r="B27" s="67" t="s">
        <v>144</v>
      </c>
      <c r="C27" s="67" t="s">
        <v>145</v>
      </c>
      <c r="D27" s="139" t="s">
        <v>237</v>
      </c>
      <c r="E27" s="67" t="s">
        <v>388</v>
      </c>
      <c r="F27" s="170" t="s">
        <v>186</v>
      </c>
      <c r="G27" s="139" t="s">
        <v>460</v>
      </c>
      <c r="H27" s="193" t="s">
        <v>317</v>
      </c>
      <c r="I27" s="193" t="s">
        <v>668</v>
      </c>
      <c r="J27" s="193" t="s">
        <v>639</v>
      </c>
      <c r="K27" s="180" t="s">
        <v>282</v>
      </c>
      <c r="L27" s="67" t="s">
        <v>728</v>
      </c>
    </row>
    <row r="28" spans="1:12" ht="28.5" x14ac:dyDescent="0.2">
      <c r="A28" s="145">
        <v>28</v>
      </c>
      <c r="B28" s="67" t="s">
        <v>146</v>
      </c>
      <c r="C28" s="67" t="s">
        <v>147</v>
      </c>
      <c r="D28" s="139" t="s">
        <v>238</v>
      </c>
      <c r="E28" s="67" t="s">
        <v>389</v>
      </c>
      <c r="F28" s="170" t="s">
        <v>357</v>
      </c>
      <c r="G28" s="139" t="s">
        <v>448</v>
      </c>
      <c r="H28" s="193" t="s">
        <v>318</v>
      </c>
      <c r="I28" s="193" t="s">
        <v>489</v>
      </c>
      <c r="J28" s="193" t="s">
        <v>640</v>
      </c>
      <c r="K28" s="180" t="s">
        <v>776</v>
      </c>
      <c r="L28" s="67" t="s">
        <v>729</v>
      </c>
    </row>
    <row r="29" spans="1:12" x14ac:dyDescent="0.2">
      <c r="A29" s="145">
        <v>29</v>
      </c>
      <c r="B29" s="67" t="s">
        <v>169</v>
      </c>
      <c r="C29" s="67" t="s">
        <v>170</v>
      </c>
      <c r="D29" s="139" t="s">
        <v>239</v>
      </c>
      <c r="E29" s="67" t="s">
        <v>390</v>
      </c>
      <c r="F29" s="170" t="s">
        <v>358</v>
      </c>
      <c r="G29" s="139" t="s">
        <v>449</v>
      </c>
      <c r="H29" s="193" t="s">
        <v>319</v>
      </c>
      <c r="I29" s="193" t="s">
        <v>669</v>
      </c>
      <c r="J29" s="193" t="s">
        <v>641</v>
      </c>
      <c r="K29" s="180" t="s">
        <v>283</v>
      </c>
      <c r="L29" s="67" t="s">
        <v>730</v>
      </c>
    </row>
    <row r="30" spans="1:12" x14ac:dyDescent="0.2">
      <c r="A30" s="145">
        <v>30</v>
      </c>
      <c r="B30" s="67" t="s">
        <v>148</v>
      </c>
      <c r="C30" s="67" t="s">
        <v>364</v>
      </c>
      <c r="D30" s="139" t="s">
        <v>240</v>
      </c>
      <c r="E30" s="67" t="s">
        <v>391</v>
      </c>
      <c r="F30" s="170" t="s">
        <v>187</v>
      </c>
      <c r="G30" s="139" t="s">
        <v>450</v>
      </c>
      <c r="H30" s="193" t="s">
        <v>320</v>
      </c>
      <c r="I30" s="193" t="s">
        <v>670</v>
      </c>
      <c r="J30" s="193" t="s">
        <v>642</v>
      </c>
      <c r="K30" s="180" t="s">
        <v>284</v>
      </c>
      <c r="L30" s="67" t="s">
        <v>731</v>
      </c>
    </row>
    <row r="31" spans="1:12" x14ac:dyDescent="0.2">
      <c r="A31" s="145">
        <v>31</v>
      </c>
      <c r="B31" s="67" t="s">
        <v>149</v>
      </c>
      <c r="C31" s="67" t="s">
        <v>150</v>
      </c>
      <c r="D31" s="139" t="s">
        <v>241</v>
      </c>
      <c r="E31" s="67" t="s">
        <v>383</v>
      </c>
      <c r="F31" s="170" t="s">
        <v>355</v>
      </c>
      <c r="G31" s="139" t="s">
        <v>514</v>
      </c>
      <c r="H31" s="193" t="s">
        <v>321</v>
      </c>
      <c r="I31" s="193" t="s">
        <v>671</v>
      </c>
      <c r="J31" s="193" t="s">
        <v>643</v>
      </c>
      <c r="K31" s="180" t="s">
        <v>285</v>
      </c>
      <c r="L31" s="67" t="s">
        <v>732</v>
      </c>
    </row>
    <row r="32" spans="1:12" x14ac:dyDescent="0.2">
      <c r="A32" s="145">
        <v>32</v>
      </c>
      <c r="B32" s="67" t="s">
        <v>114</v>
      </c>
      <c r="C32" s="67" t="s">
        <v>141</v>
      </c>
      <c r="D32" s="139" t="s">
        <v>235</v>
      </c>
      <c r="E32" s="67" t="s">
        <v>386</v>
      </c>
      <c r="F32" s="170" t="s">
        <v>356</v>
      </c>
      <c r="G32" s="139" t="s">
        <v>446</v>
      </c>
      <c r="H32" s="193" t="s">
        <v>322</v>
      </c>
      <c r="I32" s="193" t="s">
        <v>487</v>
      </c>
      <c r="J32" s="193" t="s">
        <v>644</v>
      </c>
      <c r="K32" s="180" t="s">
        <v>280</v>
      </c>
      <c r="L32" s="67" t="s">
        <v>726</v>
      </c>
    </row>
    <row r="33" spans="1:12" ht="28.5" x14ac:dyDescent="0.2">
      <c r="A33" s="145">
        <v>33</v>
      </c>
      <c r="B33" s="67" t="s">
        <v>167</v>
      </c>
      <c r="C33" s="67" t="s">
        <v>171</v>
      </c>
      <c r="D33" s="139" t="s">
        <v>242</v>
      </c>
      <c r="E33" s="67" t="s">
        <v>392</v>
      </c>
      <c r="F33" s="170" t="s">
        <v>359</v>
      </c>
      <c r="G33" s="139" t="s">
        <v>451</v>
      </c>
      <c r="H33" s="194" t="s">
        <v>323</v>
      </c>
      <c r="I33" s="194" t="s">
        <v>490</v>
      </c>
      <c r="J33" s="194" t="s">
        <v>645</v>
      </c>
      <c r="K33" s="180" t="s">
        <v>286</v>
      </c>
      <c r="L33" s="67" t="s">
        <v>733</v>
      </c>
    </row>
    <row r="34" spans="1:12" x14ac:dyDescent="0.2">
      <c r="A34" s="145">
        <v>34</v>
      </c>
      <c r="B34" s="67" t="s">
        <v>1012</v>
      </c>
      <c r="C34" s="67" t="s">
        <v>1013</v>
      </c>
      <c r="D34" s="139" t="s">
        <v>1014</v>
      </c>
      <c r="E34" s="67" t="s">
        <v>1015</v>
      </c>
      <c r="F34" s="170" t="s">
        <v>188</v>
      </c>
      <c r="G34" s="139" t="s">
        <v>1016</v>
      </c>
      <c r="H34" s="193" t="s">
        <v>1017</v>
      </c>
      <c r="I34" s="193" t="s">
        <v>1018</v>
      </c>
      <c r="J34" s="193" t="s">
        <v>1019</v>
      </c>
      <c r="K34" s="180" t="s">
        <v>1020</v>
      </c>
      <c r="L34" s="67" t="s">
        <v>1021</v>
      </c>
    </row>
    <row r="35" spans="1:12" x14ac:dyDescent="0.2">
      <c r="A35" s="145">
        <v>35</v>
      </c>
      <c r="B35" s="88" t="s">
        <v>755</v>
      </c>
      <c r="C35" s="88" t="s">
        <v>757</v>
      </c>
      <c r="D35" s="140" t="s">
        <v>759</v>
      </c>
      <c r="E35" s="88" t="s">
        <v>761</v>
      </c>
      <c r="F35" s="171" t="s">
        <v>763</v>
      </c>
      <c r="G35" s="140" t="s">
        <v>765</v>
      </c>
      <c r="H35" s="195" t="s">
        <v>759</v>
      </c>
      <c r="I35" s="195" t="s">
        <v>768</v>
      </c>
      <c r="J35" s="195" t="s">
        <v>770</v>
      </c>
      <c r="K35" s="181" t="s">
        <v>771</v>
      </c>
      <c r="L35" s="88" t="s">
        <v>773</v>
      </c>
    </row>
    <row r="36" spans="1:12" x14ac:dyDescent="0.2">
      <c r="A36" s="145">
        <v>36</v>
      </c>
      <c r="B36" s="88" t="s">
        <v>42</v>
      </c>
      <c r="C36" s="88" t="s">
        <v>151</v>
      </c>
      <c r="D36" s="140" t="s">
        <v>255</v>
      </c>
      <c r="E36" s="88" t="s">
        <v>404</v>
      </c>
      <c r="F36" s="171" t="s">
        <v>189</v>
      </c>
      <c r="G36" s="140" t="s">
        <v>470</v>
      </c>
      <c r="H36" s="195" t="s">
        <v>324</v>
      </c>
      <c r="I36" s="195" t="s">
        <v>470</v>
      </c>
      <c r="J36" s="195" t="s">
        <v>646</v>
      </c>
      <c r="K36" s="181" t="s">
        <v>287</v>
      </c>
      <c r="L36" s="88" t="s">
        <v>151</v>
      </c>
    </row>
    <row r="37" spans="1:12" x14ac:dyDescent="0.2">
      <c r="A37" s="145">
        <v>37</v>
      </c>
      <c r="B37" s="88" t="s">
        <v>43</v>
      </c>
      <c r="C37" s="88" t="s">
        <v>152</v>
      </c>
      <c r="D37" s="140" t="s">
        <v>256</v>
      </c>
      <c r="E37" s="88" t="s">
        <v>403</v>
      </c>
      <c r="F37" s="171" t="s">
        <v>190</v>
      </c>
      <c r="G37" s="140" t="s">
        <v>288</v>
      </c>
      <c r="H37" s="195" t="s">
        <v>325</v>
      </c>
      <c r="I37" s="195" t="s">
        <v>491</v>
      </c>
      <c r="J37" s="195" t="s">
        <v>647</v>
      </c>
      <c r="K37" s="181" t="s">
        <v>288</v>
      </c>
      <c r="L37" s="88" t="s">
        <v>734</v>
      </c>
    </row>
    <row r="38" spans="1:12" x14ac:dyDescent="0.2">
      <c r="A38" s="145">
        <v>38</v>
      </c>
      <c r="B38" s="89" t="s">
        <v>53</v>
      </c>
      <c r="C38" s="89" t="s">
        <v>153</v>
      </c>
      <c r="D38" s="141" t="s">
        <v>257</v>
      </c>
      <c r="E38" s="89" t="s">
        <v>402</v>
      </c>
      <c r="F38" s="172" t="s">
        <v>191</v>
      </c>
      <c r="G38" s="141" t="s">
        <v>469</v>
      </c>
      <c r="H38" s="196" t="s">
        <v>326</v>
      </c>
      <c r="I38" s="196" t="s">
        <v>492</v>
      </c>
      <c r="J38" s="196" t="s">
        <v>648</v>
      </c>
      <c r="K38" s="182" t="s">
        <v>412</v>
      </c>
      <c r="L38" s="89" t="s">
        <v>735</v>
      </c>
    </row>
    <row r="39" spans="1:12" ht="28.5" x14ac:dyDescent="0.2">
      <c r="A39" s="145">
        <v>39</v>
      </c>
      <c r="B39" s="89" t="s">
        <v>54</v>
      </c>
      <c r="C39" s="89" t="s">
        <v>154</v>
      </c>
      <c r="D39" s="141" t="s">
        <v>243</v>
      </c>
      <c r="E39" s="89" t="s">
        <v>393</v>
      </c>
      <c r="F39" s="172" t="s">
        <v>192</v>
      </c>
      <c r="G39" s="141" t="s">
        <v>452</v>
      </c>
      <c r="H39" s="197" t="s">
        <v>327</v>
      </c>
      <c r="I39" s="197" t="s">
        <v>493</v>
      </c>
      <c r="J39" s="197" t="s">
        <v>649</v>
      </c>
      <c r="K39" s="182" t="s">
        <v>777</v>
      </c>
      <c r="L39" s="89" t="s">
        <v>736</v>
      </c>
    </row>
    <row r="40" spans="1:12" ht="57" x14ac:dyDescent="0.2">
      <c r="A40" s="145">
        <v>40</v>
      </c>
      <c r="B40" s="89" t="s">
        <v>1033</v>
      </c>
      <c r="C40" s="89" t="s">
        <v>1034</v>
      </c>
      <c r="D40" s="141" t="s">
        <v>1035</v>
      </c>
      <c r="E40" s="89" t="s">
        <v>1036</v>
      </c>
      <c r="F40" s="172" t="s">
        <v>1037</v>
      </c>
      <c r="G40" s="141" t="s">
        <v>1038</v>
      </c>
      <c r="H40" s="197" t="s">
        <v>1039</v>
      </c>
      <c r="I40" s="197" t="s">
        <v>1040</v>
      </c>
      <c r="J40" s="197" t="s">
        <v>1041</v>
      </c>
      <c r="K40" s="89" t="s">
        <v>1042</v>
      </c>
      <c r="L40" s="89" t="s">
        <v>1043</v>
      </c>
    </row>
    <row r="41" spans="1:12" ht="42.75" x14ac:dyDescent="0.2">
      <c r="A41" s="145">
        <v>41</v>
      </c>
      <c r="B41" s="89" t="s">
        <v>59</v>
      </c>
      <c r="C41" s="89" t="s">
        <v>365</v>
      </c>
      <c r="D41" s="141" t="s">
        <v>244</v>
      </c>
      <c r="E41" s="89" t="s">
        <v>394</v>
      </c>
      <c r="F41" s="172" t="s">
        <v>360</v>
      </c>
      <c r="G41" s="141" t="s">
        <v>453</v>
      </c>
      <c r="H41" s="197" t="s">
        <v>328</v>
      </c>
      <c r="I41" s="197" t="s">
        <v>494</v>
      </c>
      <c r="J41" s="197" t="s">
        <v>650</v>
      </c>
      <c r="K41" s="182" t="s">
        <v>778</v>
      </c>
      <c r="L41" s="89" t="s">
        <v>737</v>
      </c>
    </row>
    <row r="42" spans="1:12" ht="28.5" x14ac:dyDescent="0.2">
      <c r="A42" s="145">
        <v>42</v>
      </c>
      <c r="B42" s="89" t="s">
        <v>155</v>
      </c>
      <c r="C42" s="89" t="s">
        <v>156</v>
      </c>
      <c r="D42" s="141" t="s">
        <v>245</v>
      </c>
      <c r="E42" s="89" t="s">
        <v>395</v>
      </c>
      <c r="F42" s="172" t="s">
        <v>193</v>
      </c>
      <c r="G42" s="141" t="s">
        <v>454</v>
      </c>
      <c r="H42" s="196" t="s">
        <v>329</v>
      </c>
      <c r="I42" s="196" t="s">
        <v>495</v>
      </c>
      <c r="J42" s="196" t="s">
        <v>651</v>
      </c>
      <c r="K42" s="182" t="s">
        <v>779</v>
      </c>
      <c r="L42" s="89" t="s">
        <v>738</v>
      </c>
    </row>
    <row r="43" spans="1:12" ht="42.75" x14ac:dyDescent="0.2">
      <c r="A43" s="145">
        <v>43</v>
      </c>
      <c r="B43" s="89" t="s">
        <v>261</v>
      </c>
      <c r="C43" s="89" t="s">
        <v>366</v>
      </c>
      <c r="D43" s="141" t="s">
        <v>246</v>
      </c>
      <c r="E43" s="89" t="s">
        <v>396</v>
      </c>
      <c r="F43" s="172" t="s">
        <v>194</v>
      </c>
      <c r="G43" s="141" t="s">
        <v>455</v>
      </c>
      <c r="H43" s="197" t="s">
        <v>330</v>
      </c>
      <c r="I43" s="197" t="s">
        <v>496</v>
      </c>
      <c r="J43" s="197" t="s">
        <v>652</v>
      </c>
      <c r="K43" s="182" t="s">
        <v>780</v>
      </c>
      <c r="L43" s="89" t="s">
        <v>739</v>
      </c>
    </row>
    <row r="44" spans="1:12" ht="28.5" x14ac:dyDescent="0.2">
      <c r="A44" s="145">
        <v>44</v>
      </c>
      <c r="B44" s="90" t="s">
        <v>157</v>
      </c>
      <c r="C44" s="90" t="s">
        <v>158</v>
      </c>
      <c r="D44" s="142" t="s">
        <v>247</v>
      </c>
      <c r="E44" s="90" t="s">
        <v>397</v>
      </c>
      <c r="F44" s="173" t="s">
        <v>195</v>
      </c>
      <c r="G44" s="142" t="s">
        <v>468</v>
      </c>
      <c r="H44" s="198" t="s">
        <v>331</v>
      </c>
      <c r="I44" s="198" t="s">
        <v>497</v>
      </c>
      <c r="J44" s="198" t="s">
        <v>653</v>
      </c>
      <c r="K44" s="183" t="s">
        <v>289</v>
      </c>
      <c r="L44" s="90" t="s">
        <v>740</v>
      </c>
    </row>
    <row r="45" spans="1:12" ht="42.75" x14ac:dyDescent="0.2">
      <c r="A45" s="145">
        <v>45</v>
      </c>
      <c r="B45" s="91" t="s">
        <v>51</v>
      </c>
      <c r="C45" s="91" t="s">
        <v>367</v>
      </c>
      <c r="D45" s="143" t="s">
        <v>248</v>
      </c>
      <c r="E45" s="91" t="s">
        <v>398</v>
      </c>
      <c r="F45" s="174" t="s">
        <v>361</v>
      </c>
      <c r="G45" s="143" t="s">
        <v>456</v>
      </c>
      <c r="H45" s="199" t="s">
        <v>332</v>
      </c>
      <c r="I45" s="199" t="s">
        <v>498</v>
      </c>
      <c r="J45" s="199" t="s">
        <v>654</v>
      </c>
      <c r="K45" s="184" t="s">
        <v>290</v>
      </c>
      <c r="L45" s="91" t="s">
        <v>741</v>
      </c>
    </row>
    <row r="46" spans="1:12" x14ac:dyDescent="0.2">
      <c r="A46" s="145">
        <v>46</v>
      </c>
      <c r="B46" s="85" t="s">
        <v>44</v>
      </c>
      <c r="C46" s="85" t="s">
        <v>159</v>
      </c>
      <c r="D46" s="136" t="s">
        <v>260</v>
      </c>
      <c r="E46" s="85" t="s">
        <v>405</v>
      </c>
      <c r="F46" s="167" t="s">
        <v>196</v>
      </c>
      <c r="G46" s="136" t="s">
        <v>465</v>
      </c>
      <c r="H46" s="190" t="s">
        <v>333</v>
      </c>
      <c r="I46" s="190" t="s">
        <v>499</v>
      </c>
      <c r="J46" s="190" t="s">
        <v>655</v>
      </c>
      <c r="K46" s="162" t="s">
        <v>291</v>
      </c>
      <c r="L46" s="85" t="s">
        <v>742</v>
      </c>
    </row>
    <row r="47" spans="1:12" x14ac:dyDescent="0.2">
      <c r="A47" s="145">
        <v>47</v>
      </c>
      <c r="B47" s="85" t="s">
        <v>1044</v>
      </c>
      <c r="C47" s="85" t="s">
        <v>1045</v>
      </c>
      <c r="D47" s="136" t="s">
        <v>1046</v>
      </c>
      <c r="E47" s="85" t="s">
        <v>1047</v>
      </c>
      <c r="F47" s="167" t="s">
        <v>1048</v>
      </c>
      <c r="G47" s="136" t="s">
        <v>1049</v>
      </c>
      <c r="H47" s="190" t="s">
        <v>1050</v>
      </c>
      <c r="I47" s="190" t="s">
        <v>1051</v>
      </c>
      <c r="J47" s="190" t="s">
        <v>1052</v>
      </c>
      <c r="K47" s="162" t="s">
        <v>1053</v>
      </c>
      <c r="L47" s="85" t="s">
        <v>1054</v>
      </c>
    </row>
    <row r="48" spans="1:12" x14ac:dyDescent="0.2">
      <c r="A48" s="145">
        <v>48</v>
      </c>
      <c r="B48" s="85" t="s">
        <v>262</v>
      </c>
      <c r="C48" s="85" t="s">
        <v>368</v>
      </c>
      <c r="D48" s="136" t="s">
        <v>703</v>
      </c>
      <c r="E48" s="85" t="s">
        <v>704</v>
      </c>
      <c r="F48" s="156" t="s">
        <v>705</v>
      </c>
      <c r="G48" s="136" t="s">
        <v>466</v>
      </c>
      <c r="H48" s="190" t="s">
        <v>334</v>
      </c>
      <c r="I48" s="190" t="s">
        <v>500</v>
      </c>
      <c r="J48" s="190" t="s">
        <v>656</v>
      </c>
      <c r="K48" s="162" t="s">
        <v>287</v>
      </c>
      <c r="L48" s="85" t="s">
        <v>743</v>
      </c>
    </row>
    <row r="49" spans="1:12" x14ac:dyDescent="0.2">
      <c r="A49" s="145">
        <v>49</v>
      </c>
      <c r="B49" s="85" t="s">
        <v>45</v>
      </c>
      <c r="C49" s="85" t="s">
        <v>218</v>
      </c>
      <c r="D49" s="136" t="s">
        <v>251</v>
      </c>
      <c r="E49" s="85" t="s">
        <v>406</v>
      </c>
      <c r="F49" s="156" t="s">
        <v>410</v>
      </c>
      <c r="G49" s="186" t="s">
        <v>457</v>
      </c>
      <c r="H49" s="190" t="s">
        <v>335</v>
      </c>
      <c r="I49" s="190" t="s">
        <v>501</v>
      </c>
      <c r="J49" s="190" t="s">
        <v>657</v>
      </c>
      <c r="K49" s="162" t="s">
        <v>781</v>
      </c>
      <c r="L49" s="85" t="s">
        <v>744</v>
      </c>
    </row>
    <row r="50" spans="1:12" x14ac:dyDescent="0.2">
      <c r="A50" s="145">
        <v>50</v>
      </c>
      <c r="B50" s="85" t="s">
        <v>46</v>
      </c>
      <c r="C50" s="85" t="s">
        <v>160</v>
      </c>
      <c r="D50" s="136" t="s">
        <v>258</v>
      </c>
      <c r="E50" s="85" t="s">
        <v>258</v>
      </c>
      <c r="F50" s="156" t="s">
        <v>197</v>
      </c>
      <c r="G50" s="186" t="s">
        <v>160</v>
      </c>
      <c r="H50" s="190" t="s">
        <v>336</v>
      </c>
      <c r="I50" s="190" t="s">
        <v>160</v>
      </c>
      <c r="J50" s="190" t="s">
        <v>658</v>
      </c>
      <c r="K50" s="162" t="s">
        <v>160</v>
      </c>
      <c r="L50" s="85" t="s">
        <v>745</v>
      </c>
    </row>
    <row r="51" spans="1:12" x14ac:dyDescent="0.2">
      <c r="A51" s="145">
        <v>51</v>
      </c>
      <c r="B51" s="85" t="s">
        <v>47</v>
      </c>
      <c r="C51" s="85" t="s">
        <v>161</v>
      </c>
      <c r="D51" s="136" t="s">
        <v>252</v>
      </c>
      <c r="E51" s="85" t="s">
        <v>407</v>
      </c>
      <c r="F51" s="156" t="s">
        <v>411</v>
      </c>
      <c r="G51" s="186" t="s">
        <v>467</v>
      </c>
      <c r="H51" s="190" t="s">
        <v>337</v>
      </c>
      <c r="I51" s="190" t="s">
        <v>502</v>
      </c>
      <c r="J51" s="190" t="s">
        <v>659</v>
      </c>
      <c r="K51" s="162" t="s">
        <v>292</v>
      </c>
      <c r="L51" s="85" t="s">
        <v>746</v>
      </c>
    </row>
    <row r="52" spans="1:12" x14ac:dyDescent="0.2">
      <c r="A52" s="145">
        <v>52</v>
      </c>
      <c r="B52" s="85" t="s">
        <v>48</v>
      </c>
      <c r="C52" s="85" t="s">
        <v>48</v>
      </c>
      <c r="D52" s="136" t="s">
        <v>253</v>
      </c>
      <c r="E52" s="85" t="s">
        <v>408</v>
      </c>
      <c r="F52" s="156" t="s">
        <v>190</v>
      </c>
      <c r="G52" s="186" t="s">
        <v>293</v>
      </c>
      <c r="H52" s="190" t="s">
        <v>48</v>
      </c>
      <c r="I52" s="190" t="s">
        <v>503</v>
      </c>
      <c r="J52" s="190" t="s">
        <v>660</v>
      </c>
      <c r="K52" s="162" t="s">
        <v>293</v>
      </c>
      <c r="L52" s="85" t="s">
        <v>293</v>
      </c>
    </row>
    <row r="53" spans="1:12" x14ac:dyDescent="0.2">
      <c r="A53" s="145">
        <v>53</v>
      </c>
      <c r="B53" s="85" t="s">
        <v>49</v>
      </c>
      <c r="C53" s="85" t="s">
        <v>49</v>
      </c>
      <c r="D53" s="136" t="s">
        <v>698</v>
      </c>
      <c r="E53" s="85" t="s">
        <v>700</v>
      </c>
      <c r="F53" s="156" t="s">
        <v>699</v>
      </c>
      <c r="G53" s="186" t="s">
        <v>259</v>
      </c>
      <c r="H53" s="190" t="s">
        <v>338</v>
      </c>
      <c r="I53" s="190" t="s">
        <v>49</v>
      </c>
      <c r="J53" s="190" t="s">
        <v>661</v>
      </c>
      <c r="K53" s="162" t="s">
        <v>782</v>
      </c>
      <c r="L53" s="85" t="s">
        <v>49</v>
      </c>
    </row>
    <row r="54" spans="1:12" x14ac:dyDescent="0.2">
      <c r="A54" s="145">
        <v>54</v>
      </c>
      <c r="B54" s="159" t="s">
        <v>56</v>
      </c>
      <c r="C54" s="159" t="s">
        <v>162</v>
      </c>
      <c r="D54" s="165" t="s">
        <v>701</v>
      </c>
      <c r="E54" s="159" t="s">
        <v>702</v>
      </c>
      <c r="F54" s="157" t="s">
        <v>706</v>
      </c>
      <c r="G54" s="187" t="s">
        <v>464</v>
      </c>
      <c r="H54" s="200" t="s">
        <v>339</v>
      </c>
      <c r="I54" s="200" t="s">
        <v>504</v>
      </c>
      <c r="J54" s="200" t="s">
        <v>662</v>
      </c>
      <c r="K54" s="185" t="s">
        <v>294</v>
      </c>
      <c r="L54" s="159" t="s">
        <v>747</v>
      </c>
    </row>
    <row r="55" spans="1:12" x14ac:dyDescent="0.2">
      <c r="A55" s="145">
        <v>55</v>
      </c>
      <c r="B55" s="159" t="s">
        <v>45</v>
      </c>
      <c r="C55" s="159" t="s">
        <v>218</v>
      </c>
      <c r="D55" s="165" t="s">
        <v>251</v>
      </c>
      <c r="E55" s="159" t="s">
        <v>406</v>
      </c>
      <c r="F55" s="157" t="s">
        <v>410</v>
      </c>
      <c r="G55" s="187" t="s">
        <v>457</v>
      </c>
      <c r="H55" s="200" t="s">
        <v>335</v>
      </c>
      <c r="I55" s="200" t="s">
        <v>501</v>
      </c>
      <c r="J55" s="200" t="s">
        <v>657</v>
      </c>
      <c r="K55" s="185" t="s">
        <v>781</v>
      </c>
      <c r="L55" s="159" t="s">
        <v>744</v>
      </c>
    </row>
    <row r="56" spans="1:12" x14ac:dyDescent="0.2">
      <c r="A56" s="145">
        <v>56</v>
      </c>
      <c r="B56" s="159" t="s">
        <v>46</v>
      </c>
      <c r="C56" s="159" t="s">
        <v>160</v>
      </c>
      <c r="D56" s="165" t="s">
        <v>258</v>
      </c>
      <c r="E56" s="159" t="s">
        <v>258</v>
      </c>
      <c r="F56" s="157" t="s">
        <v>197</v>
      </c>
      <c r="G56" s="187" t="s">
        <v>160</v>
      </c>
      <c r="H56" s="200" t="s">
        <v>336</v>
      </c>
      <c r="I56" s="200" t="s">
        <v>160</v>
      </c>
      <c r="J56" s="200" t="s">
        <v>658</v>
      </c>
      <c r="K56" s="185" t="s">
        <v>160</v>
      </c>
      <c r="L56" s="159" t="s">
        <v>745</v>
      </c>
    </row>
    <row r="57" spans="1:12" x14ac:dyDescent="0.2">
      <c r="A57" s="145">
        <v>57</v>
      </c>
      <c r="B57" s="159" t="s">
        <v>50</v>
      </c>
      <c r="C57" s="159" t="s">
        <v>163</v>
      </c>
      <c r="D57" s="165" t="s">
        <v>253</v>
      </c>
      <c r="E57" s="159" t="s">
        <v>408</v>
      </c>
      <c r="F57" s="157" t="s">
        <v>362</v>
      </c>
      <c r="G57" s="187" t="s">
        <v>461</v>
      </c>
      <c r="H57" s="200" t="s">
        <v>340</v>
      </c>
      <c r="I57" s="200" t="s">
        <v>505</v>
      </c>
      <c r="J57" s="200" t="s">
        <v>647</v>
      </c>
      <c r="K57" s="185" t="s">
        <v>288</v>
      </c>
      <c r="L57" s="159" t="s">
        <v>748</v>
      </c>
    </row>
    <row r="58" spans="1:12" x14ac:dyDescent="0.2">
      <c r="A58" s="145">
        <v>58</v>
      </c>
      <c r="B58" s="159" t="s">
        <v>700</v>
      </c>
      <c r="C58" s="159" t="s">
        <v>700</v>
      </c>
      <c r="D58" s="159" t="s">
        <v>700</v>
      </c>
      <c r="E58" s="159" t="s">
        <v>700</v>
      </c>
      <c r="F58" s="159" t="s">
        <v>700</v>
      </c>
      <c r="G58" s="159" t="s">
        <v>700</v>
      </c>
      <c r="H58" s="159" t="s">
        <v>700</v>
      </c>
      <c r="I58" s="159" t="s">
        <v>700</v>
      </c>
      <c r="J58" s="159" t="s">
        <v>700</v>
      </c>
      <c r="K58" s="159" t="s">
        <v>783</v>
      </c>
      <c r="L58" s="159" t="s">
        <v>749</v>
      </c>
    </row>
    <row r="59" spans="1:12" x14ac:dyDescent="0.2">
      <c r="A59" s="145">
        <v>59</v>
      </c>
      <c r="B59" s="159" t="s">
        <v>52</v>
      </c>
      <c r="C59" s="159" t="s">
        <v>164</v>
      </c>
      <c r="D59" s="165" t="s">
        <v>254</v>
      </c>
      <c r="E59" s="159" t="s">
        <v>399</v>
      </c>
      <c r="F59" s="157" t="s">
        <v>363</v>
      </c>
      <c r="G59" s="187" t="s">
        <v>463</v>
      </c>
      <c r="H59" s="200" t="s">
        <v>341</v>
      </c>
      <c r="I59" s="200" t="s">
        <v>506</v>
      </c>
      <c r="J59" s="200" t="s">
        <v>663</v>
      </c>
      <c r="K59" s="185" t="s">
        <v>295</v>
      </c>
      <c r="L59" s="159" t="s">
        <v>750</v>
      </c>
    </row>
    <row r="60" spans="1:12" x14ac:dyDescent="0.2">
      <c r="A60" s="145">
        <v>60</v>
      </c>
      <c r="B60" s="240" t="s">
        <v>165</v>
      </c>
      <c r="C60" s="240" t="s">
        <v>166</v>
      </c>
      <c r="D60" s="241" t="s">
        <v>249</v>
      </c>
      <c r="E60" s="240" t="s">
        <v>400</v>
      </c>
      <c r="F60" s="242" t="s">
        <v>198</v>
      </c>
      <c r="G60" s="243" t="s">
        <v>458</v>
      </c>
      <c r="H60" s="244" t="s">
        <v>342</v>
      </c>
      <c r="I60" s="244" t="s">
        <v>507</v>
      </c>
      <c r="J60" s="244" t="s">
        <v>664</v>
      </c>
      <c r="K60" s="245" t="s">
        <v>296</v>
      </c>
      <c r="L60" s="240" t="s">
        <v>751</v>
      </c>
    </row>
    <row r="61" spans="1:12" x14ac:dyDescent="0.2">
      <c r="A61" s="246">
        <v>61</v>
      </c>
      <c r="B61" s="247" t="s">
        <v>117</v>
      </c>
      <c r="C61" s="247" t="s">
        <v>168</v>
      </c>
      <c r="D61" s="247" t="s">
        <v>250</v>
      </c>
      <c r="E61" s="247" t="s">
        <v>409</v>
      </c>
      <c r="F61" s="247" t="s">
        <v>199</v>
      </c>
      <c r="G61" s="247" t="s">
        <v>462</v>
      </c>
      <c r="H61" s="248" t="s">
        <v>343</v>
      </c>
      <c r="I61" s="248" t="s">
        <v>508</v>
      </c>
      <c r="J61" s="248" t="s">
        <v>665</v>
      </c>
      <c r="K61" s="249" t="s">
        <v>297</v>
      </c>
      <c r="L61" s="247" t="s">
        <v>752</v>
      </c>
    </row>
    <row r="62" spans="1:12" x14ac:dyDescent="0.2">
      <c r="A62" s="246">
        <v>62</v>
      </c>
      <c r="B62" s="250" t="s">
        <v>754</v>
      </c>
      <c r="C62" s="250" t="s">
        <v>756</v>
      </c>
      <c r="D62" s="250" t="s">
        <v>758</v>
      </c>
      <c r="E62" s="250" t="s">
        <v>760</v>
      </c>
      <c r="F62" s="250" t="s">
        <v>762</v>
      </c>
      <c r="G62" s="250" t="s">
        <v>764</v>
      </c>
      <c r="H62" s="250" t="s">
        <v>766</v>
      </c>
      <c r="I62" s="250" t="s">
        <v>767</v>
      </c>
      <c r="J62" s="250" t="s">
        <v>769</v>
      </c>
      <c r="K62" s="250" t="s">
        <v>784</v>
      </c>
      <c r="L62" s="250" t="s">
        <v>772</v>
      </c>
    </row>
    <row r="63" spans="1:12" x14ac:dyDescent="0.2">
      <c r="K63" s="251"/>
    </row>
  </sheetData>
  <pageMargins left="0.2" right="0.2" top="0.24" bottom="0.35" header="0.17" footer="0.17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workbookViewId="0">
      <pane xSplit="1" ySplit="1" topLeftCell="B2" activePane="bottomRight" state="frozenSplit"/>
      <selection pane="topRight" activeCell="B1" sqref="B1"/>
      <selection pane="bottomLeft"/>
      <selection pane="bottomRight" activeCell="C19" sqref="C19"/>
    </sheetView>
  </sheetViews>
  <sheetFormatPr defaultColWidth="0" defaultRowHeight="14.25" zeroHeight="1" x14ac:dyDescent="0.2"/>
  <cols>
    <col min="1" max="1" width="17.25" style="145" bestFit="1" customWidth="1"/>
    <col min="2" max="2" width="31.5" bestFit="1" customWidth="1"/>
    <col min="3" max="3" width="18.75" bestFit="1" customWidth="1"/>
    <col min="4" max="4" width="42.375" customWidth="1"/>
    <col min="5" max="5" width="29.5" bestFit="1" customWidth="1"/>
    <col min="6" max="6" width="30.125" bestFit="1" customWidth="1"/>
    <col min="7" max="7" width="29" bestFit="1" customWidth="1"/>
    <col min="8" max="8" width="36" bestFit="1" customWidth="1"/>
    <col min="9" max="9" width="29.75" bestFit="1" customWidth="1"/>
    <col min="10" max="10" width="32.25" bestFit="1" customWidth="1"/>
  </cols>
  <sheetData>
    <row r="1" spans="1:10" s="145" customFormat="1" ht="15" x14ac:dyDescent="0.25">
      <c r="A1" s="146" t="s">
        <v>206</v>
      </c>
      <c r="B1" s="146" t="s">
        <v>213</v>
      </c>
      <c r="C1" s="146" t="s">
        <v>214</v>
      </c>
      <c r="D1" s="146" t="s">
        <v>215</v>
      </c>
      <c r="E1" s="146" t="s">
        <v>208</v>
      </c>
      <c r="F1" s="146" t="s">
        <v>209</v>
      </c>
      <c r="G1" s="146" t="s">
        <v>207</v>
      </c>
      <c r="H1" s="146" t="s">
        <v>210</v>
      </c>
      <c r="I1" s="146" t="s">
        <v>211</v>
      </c>
      <c r="J1" s="146" t="s">
        <v>212</v>
      </c>
    </row>
    <row r="2" spans="1:10" ht="15" x14ac:dyDescent="0.25">
      <c r="A2" s="146" t="s">
        <v>175</v>
      </c>
      <c r="B2" t="s">
        <v>1064</v>
      </c>
      <c r="C2" s="21" t="s">
        <v>1462</v>
      </c>
      <c r="D2" t="str">
        <f>HLOOKUP('RMA form'!D2:E2,MultiLanguage!B:L,62,FALSE)</f>
        <v>Zal vermeld worden op het RMA shipping formulier</v>
      </c>
      <c r="E2" s="201" t="s">
        <v>1055</v>
      </c>
      <c r="F2" t="s">
        <v>707</v>
      </c>
      <c r="G2" s="21" t="s">
        <v>55</v>
      </c>
      <c r="H2" s="21" t="s">
        <v>55</v>
      </c>
      <c r="I2" s="21" t="s">
        <v>55</v>
      </c>
      <c r="J2" s="21" t="s">
        <v>55</v>
      </c>
    </row>
    <row r="3" spans="1:10" ht="15" x14ac:dyDescent="0.25">
      <c r="A3" s="146" t="s">
        <v>1056</v>
      </c>
      <c r="B3" t="s">
        <v>1064</v>
      </c>
      <c r="C3" s="21" t="s">
        <v>1462</v>
      </c>
      <c r="D3" t="str">
        <f>HLOOKUP('RMA form'!D2:E2,MultiLanguage!B:L,62,FALSE)</f>
        <v>Zal vermeld worden op het RMA shipping formulier</v>
      </c>
      <c r="E3" s="201" t="s">
        <v>1715</v>
      </c>
      <c r="F3" s="252" t="s">
        <v>216</v>
      </c>
      <c r="G3" s="21" t="s">
        <v>55</v>
      </c>
      <c r="H3" s="21" t="s">
        <v>55</v>
      </c>
      <c r="I3" s="21" t="s">
        <v>55</v>
      </c>
      <c r="J3" s="21" t="s">
        <v>55</v>
      </c>
    </row>
    <row r="4" spans="1:10" ht="15" x14ac:dyDescent="0.25">
      <c r="A4" s="146" t="s">
        <v>176</v>
      </c>
      <c r="B4" t="s">
        <v>1064</v>
      </c>
      <c r="C4" s="21" t="s">
        <v>1462</v>
      </c>
      <c r="D4" t="str">
        <f>HLOOKUP('RMA form'!D2:E2,MultiLanguage!B:L,62,FALSE)</f>
        <v>Zal vermeld worden op het RMA shipping formulier</v>
      </c>
      <c r="E4" s="201" t="s">
        <v>1716</v>
      </c>
      <c r="F4" s="252" t="s">
        <v>418</v>
      </c>
      <c r="G4" s="21" t="s">
        <v>55</v>
      </c>
      <c r="H4" s="21" t="s">
        <v>55</v>
      </c>
      <c r="I4" s="21" t="s">
        <v>55</v>
      </c>
      <c r="J4" s="21" t="s">
        <v>55</v>
      </c>
    </row>
    <row r="5" spans="1:10" ht="15" x14ac:dyDescent="0.25">
      <c r="A5" s="146" t="s">
        <v>202</v>
      </c>
      <c r="B5" t="s">
        <v>1064</v>
      </c>
      <c r="C5" s="21" t="s">
        <v>1462</v>
      </c>
      <c r="D5" t="str">
        <f>HLOOKUP('RMA form'!D2:E2,MultiLanguage!B:L,62,FALSE)</f>
        <v>Zal vermeld worden op het RMA shipping formulier</v>
      </c>
      <c r="E5" s="201" t="s">
        <v>1717</v>
      </c>
      <c r="F5" s="21" t="s">
        <v>419</v>
      </c>
      <c r="G5" s="21" t="s">
        <v>55</v>
      </c>
      <c r="H5" s="21" t="s">
        <v>55</v>
      </c>
      <c r="I5" s="21" t="s">
        <v>55</v>
      </c>
      <c r="J5" s="21" t="s">
        <v>55</v>
      </c>
    </row>
    <row r="6" spans="1:10" ht="15" x14ac:dyDescent="0.25">
      <c r="A6" s="146" t="s">
        <v>203</v>
      </c>
      <c r="B6" t="s">
        <v>1064</v>
      </c>
      <c r="C6" s="21" t="s">
        <v>1462</v>
      </c>
      <c r="D6" t="str">
        <f>HLOOKUP('RMA form'!D2:E2,MultiLanguage!B:L,62,FALSE)</f>
        <v>Zal vermeld worden op het RMA shipping formulier</v>
      </c>
      <c r="E6" s="201" t="s">
        <v>1718</v>
      </c>
      <c r="F6" s="252" t="s">
        <v>420</v>
      </c>
      <c r="G6" s="21" t="s">
        <v>55</v>
      </c>
      <c r="H6" s="21" t="s">
        <v>55</v>
      </c>
      <c r="I6" s="21" t="s">
        <v>55</v>
      </c>
      <c r="J6" s="21" t="s">
        <v>55</v>
      </c>
    </row>
    <row r="7" spans="1:10" ht="15" x14ac:dyDescent="0.25">
      <c r="A7" s="146" t="s">
        <v>204</v>
      </c>
      <c r="B7" t="s">
        <v>1064</v>
      </c>
      <c r="C7" s="21" t="s">
        <v>1462</v>
      </c>
      <c r="D7" t="str">
        <f>HLOOKUP('RMA form'!D2:E2,MultiLanguage!B:L,62,FALSE)</f>
        <v>Zal vermeld worden op het RMA shipping formulier</v>
      </c>
      <c r="E7" s="201" t="s">
        <v>1719</v>
      </c>
      <c r="F7" s="252" t="s">
        <v>421</v>
      </c>
      <c r="G7" s="21" t="s">
        <v>55</v>
      </c>
      <c r="H7" s="21" t="s">
        <v>55</v>
      </c>
      <c r="I7" s="21" t="s">
        <v>55</v>
      </c>
      <c r="J7" s="21" t="s">
        <v>55</v>
      </c>
    </row>
    <row r="8" spans="1:10" ht="15" x14ac:dyDescent="0.25">
      <c r="A8" s="146" t="s">
        <v>205</v>
      </c>
      <c r="B8" t="s">
        <v>1064</v>
      </c>
      <c r="C8" s="21" t="s">
        <v>1462</v>
      </c>
      <c r="D8" t="str">
        <f>HLOOKUP('RMA form'!D2:E2,MultiLanguage!B:L,62,FALSE)</f>
        <v>Zal vermeld worden op het RMA shipping formulier</v>
      </c>
      <c r="E8" s="201" t="s">
        <v>1720</v>
      </c>
      <c r="F8" s="21" t="s">
        <v>422</v>
      </c>
      <c r="G8" s="21" t="s">
        <v>55</v>
      </c>
      <c r="H8" s="21" t="s">
        <v>55</v>
      </c>
      <c r="I8" s="21" t="s">
        <v>55</v>
      </c>
      <c r="J8" s="21" t="s">
        <v>55</v>
      </c>
    </row>
    <row r="9" spans="1:10" ht="15" x14ac:dyDescent="0.25">
      <c r="A9" s="146" t="s">
        <v>416</v>
      </c>
      <c r="B9" t="s">
        <v>1064</v>
      </c>
      <c r="C9" s="21" t="s">
        <v>1462</v>
      </c>
      <c r="D9" t="str">
        <f>HLOOKUP('RMA form'!D2:E2,MultiLanguage!B:L,62,FALSE)</f>
        <v>Zal vermeld worden op het RMA shipping formulier</v>
      </c>
      <c r="E9" s="201" t="s">
        <v>1721</v>
      </c>
      <c r="F9" s="252" t="s">
        <v>423</v>
      </c>
      <c r="G9" s="21" t="s">
        <v>55</v>
      </c>
      <c r="H9" s="21" t="s">
        <v>55</v>
      </c>
      <c r="I9" s="21" t="s">
        <v>55</v>
      </c>
      <c r="J9" s="21" t="s">
        <v>55</v>
      </c>
    </row>
    <row r="10" spans="1:10" ht="15" x14ac:dyDescent="0.25">
      <c r="A10" s="146" t="s">
        <v>417</v>
      </c>
      <c r="B10" t="s">
        <v>1064</v>
      </c>
      <c r="C10" s="21" t="s">
        <v>1462</v>
      </c>
      <c r="D10" t="str">
        <f>HLOOKUP('RMA form'!D2:E2,MultiLanguage!B:L,62,FALSE)</f>
        <v>Zal vermeld worden op het RMA shipping formulier</v>
      </c>
      <c r="E10" s="253" t="s">
        <v>1722</v>
      </c>
      <c r="F10" s="252" t="s">
        <v>424</v>
      </c>
      <c r="G10" s="21" t="s">
        <v>55</v>
      </c>
      <c r="H10" s="21" t="s">
        <v>55</v>
      </c>
      <c r="I10" s="21" t="s">
        <v>55</v>
      </c>
      <c r="J10" s="21" t="s">
        <v>55</v>
      </c>
    </row>
    <row r="11" spans="1:10" ht="15" x14ac:dyDescent="0.25">
      <c r="A11" s="146" t="s">
        <v>425</v>
      </c>
      <c r="B11" t="s">
        <v>1064</v>
      </c>
      <c r="C11" s="21" t="s">
        <v>1462</v>
      </c>
      <c r="D11" t="str">
        <f>HLOOKUP('RMA form'!D2:E2,MultiLanguage!B:L,62,FALSE)</f>
        <v>Zal vermeld worden op het RMA shipping formulier</v>
      </c>
      <c r="E11" s="201" t="s">
        <v>1723</v>
      </c>
      <c r="F11" s="254" t="s">
        <v>426</v>
      </c>
      <c r="G11" s="21" t="s">
        <v>55</v>
      </c>
      <c r="H11" s="21" t="s">
        <v>55</v>
      </c>
      <c r="I11" s="21" t="s">
        <v>55</v>
      </c>
      <c r="J11" s="21" t="s">
        <v>55</v>
      </c>
    </row>
    <row r="12" spans="1:10" ht="15" x14ac:dyDescent="0.25">
      <c r="A12" s="146" t="s">
        <v>427</v>
      </c>
      <c r="B12" t="s">
        <v>1064</v>
      </c>
      <c r="C12" s="21" t="s">
        <v>1462</v>
      </c>
      <c r="D12" t="str">
        <f>HLOOKUP('RMA form'!D2:E2,MultiLanguage!B:L,62,FALSE)</f>
        <v>Zal vermeld worden op het RMA shipping formulier</v>
      </c>
      <c r="E12" s="201" t="s">
        <v>1724</v>
      </c>
      <c r="F12" s="254" t="s">
        <v>428</v>
      </c>
      <c r="G12" s="21" t="s">
        <v>55</v>
      </c>
      <c r="H12" s="21" t="s">
        <v>55</v>
      </c>
      <c r="I12" s="21" t="s">
        <v>55</v>
      </c>
      <c r="J12" s="21" t="s">
        <v>55</v>
      </c>
    </row>
    <row r="13" spans="1:10" ht="15" x14ac:dyDescent="0.25">
      <c r="A13" s="146" t="s">
        <v>429</v>
      </c>
      <c r="B13" t="s">
        <v>1064</v>
      </c>
      <c r="C13" s="21" t="s">
        <v>1462</v>
      </c>
      <c r="D13" t="str">
        <f>HLOOKUP('RMA form'!D2:E2,MultiLanguage!B:L,62,FALSE)</f>
        <v>Zal vermeld worden op het RMA shipping formulier</v>
      </c>
      <c r="E13" s="201" t="s">
        <v>1725</v>
      </c>
      <c r="F13" s="254" t="s">
        <v>430</v>
      </c>
      <c r="G13" s="21" t="s">
        <v>55</v>
      </c>
      <c r="H13" s="21" t="s">
        <v>55</v>
      </c>
      <c r="I13" s="21" t="s">
        <v>55</v>
      </c>
      <c r="J13" s="21" t="s">
        <v>55</v>
      </c>
    </row>
    <row r="14" spans="1:10" ht="15" x14ac:dyDescent="0.25">
      <c r="A14" s="146" t="s">
        <v>431</v>
      </c>
      <c r="B14" t="s">
        <v>1064</v>
      </c>
      <c r="C14" s="21" t="s">
        <v>1462</v>
      </c>
      <c r="D14" t="str">
        <f>HLOOKUP('RMA form'!D2:E2,MultiLanguage!B:L,62,FALSE)</f>
        <v>Zal vermeld worden op het RMA shipping formulier</v>
      </c>
      <c r="E14" s="201" t="s">
        <v>1726</v>
      </c>
      <c r="F14" t="s">
        <v>432</v>
      </c>
      <c r="G14" s="21" t="s">
        <v>55</v>
      </c>
      <c r="H14" s="21" t="s">
        <v>55</v>
      </c>
      <c r="I14" s="21" t="s">
        <v>55</v>
      </c>
      <c r="J14" s="21" t="s">
        <v>55</v>
      </c>
    </row>
    <row r="15" spans="1:10" ht="15" x14ac:dyDescent="0.25">
      <c r="A15" s="146" t="s">
        <v>1057</v>
      </c>
      <c r="B15" t="s">
        <v>1064</v>
      </c>
      <c r="C15" s="21" t="s">
        <v>1462</v>
      </c>
      <c r="D15" t="str">
        <f>HLOOKUP('RMA form'!D2:E2,MultiLanguage!B:L,62,FALSE)</f>
        <v>Zal vermeld worden op het RMA shipping formulier</v>
      </c>
      <c r="E15" s="201" t="s">
        <v>1727</v>
      </c>
      <c r="F15" s="254" t="s">
        <v>1060</v>
      </c>
      <c r="G15" s="21" t="s">
        <v>55</v>
      </c>
      <c r="H15" s="21" t="s">
        <v>55</v>
      </c>
      <c r="I15" s="21" t="s">
        <v>55</v>
      </c>
      <c r="J15" s="21" t="s">
        <v>55</v>
      </c>
    </row>
    <row r="16" spans="1:10" ht="15" x14ac:dyDescent="0.25">
      <c r="A16" s="146" t="s">
        <v>1058</v>
      </c>
      <c r="B16" t="s">
        <v>1064</v>
      </c>
      <c r="C16" s="21" t="s">
        <v>1462</v>
      </c>
      <c r="D16" t="str">
        <f>HLOOKUP('RMA form'!D2:E2,MultiLanguage!B:L,62,FALSE)</f>
        <v>Zal vermeld worden op het RMA shipping formulier</v>
      </c>
      <c r="E16" s="201" t="s">
        <v>1461</v>
      </c>
      <c r="F16" s="254" t="s">
        <v>1061</v>
      </c>
      <c r="G16" s="21" t="s">
        <v>55</v>
      </c>
      <c r="H16" s="21" t="s">
        <v>55</v>
      </c>
      <c r="I16" s="21" t="s">
        <v>55</v>
      </c>
      <c r="J16" s="21" t="s">
        <v>55</v>
      </c>
    </row>
    <row r="17" spans="1:10" ht="15" x14ac:dyDescent="0.25">
      <c r="A17" s="146" t="s">
        <v>1059</v>
      </c>
      <c r="B17" t="s">
        <v>1064</v>
      </c>
      <c r="C17" s="21" t="s">
        <v>1462</v>
      </c>
      <c r="D17" t="str">
        <f>HLOOKUP('RMA form'!D2:E2,MultiLanguage!B:L,62,FALSE)</f>
        <v>Zal vermeld worden op het RMA shipping formulier</v>
      </c>
      <c r="E17" s="201" t="s">
        <v>1063</v>
      </c>
      <c r="F17" s="254" t="s">
        <v>1062</v>
      </c>
      <c r="G17" s="21" t="s">
        <v>55</v>
      </c>
      <c r="H17" s="21" t="s">
        <v>55</v>
      </c>
      <c r="I17" s="21" t="s">
        <v>55</v>
      </c>
      <c r="J17" s="21" t="s">
        <v>55</v>
      </c>
    </row>
    <row r="18" spans="1:10" x14ac:dyDescent="0.2">
      <c r="C18" s="21" t="s">
        <v>55</v>
      </c>
      <c r="G18" s="21" t="s">
        <v>55</v>
      </c>
      <c r="H18" s="21" t="s">
        <v>55</v>
      </c>
      <c r="I18" s="21" t="s">
        <v>55</v>
      </c>
      <c r="J18" s="21" t="s">
        <v>55</v>
      </c>
    </row>
    <row r="19" spans="1:10" x14ac:dyDescent="0.2">
      <c r="C19" s="21" t="s">
        <v>55</v>
      </c>
      <c r="G19" s="21" t="s">
        <v>55</v>
      </c>
      <c r="H19" s="21" t="s">
        <v>55</v>
      </c>
      <c r="I19" s="21" t="s">
        <v>55</v>
      </c>
      <c r="J19" s="21" t="s">
        <v>55</v>
      </c>
    </row>
  </sheetData>
  <hyperlinks>
    <hyperlink ref="E4" r:id="rId1" display="customerservice.dach@carrier.com" xr:uid="{00000000-0004-0000-0200-000000000000}"/>
    <hyperlink ref="E5" r:id="rId2" display="sales.belgium@carrier.com" xr:uid="{00000000-0004-0000-0200-000001000000}"/>
    <hyperlink ref="E8" r:id="rId3" display="ordini.fs@carrier.com" xr:uid="{00000000-0004-0000-0200-000003000000}"/>
    <hyperlink ref="E9" r:id="rId4" display="sales.portugal@carrier.com" xr:uid="{00000000-0004-0000-0200-000004000000}"/>
    <hyperlink ref="E11" r:id="rId5" display="denmark@carrier.com" xr:uid="{00000000-0004-0000-0200-000006000000}"/>
    <hyperlink ref="E12" r:id="rId6" display="bestilling.norway@carrier.com" xr:uid="{00000000-0004-0000-0200-000007000000}"/>
    <hyperlink ref="E13" r:id="rId7" display="sweden@carrier.com" xr:uid="{00000000-0004-0000-0200-000008000000}"/>
    <hyperlink ref="E14" r:id="rId8" display="customer.servicessa@carrier.com" xr:uid="{00000000-0004-0000-0200-000009000000}"/>
    <hyperlink ref="E3" r:id="rId9" display="orders.nl@carrier.com" xr:uid="{00000000-0004-0000-0200-00000A000000}"/>
    <hyperlink ref="E7" r:id="rId10" display="sales.spain@carrier.com" xr:uid="{00000000-0004-0000-0200-00000B000000}"/>
    <hyperlink ref="E2" r:id="rId11" xr:uid="{00000000-0004-0000-0200-00000C000000}"/>
    <hyperlink ref="E16" r:id="rId12" xr:uid="{2799B272-502E-4BE1-8017-CD82E2EC6101}"/>
    <hyperlink ref="E17" r:id="rId13" xr:uid="{54FCECAF-BCC4-4016-B4C2-26645FD56A14}"/>
    <hyperlink ref="E10" r:id="rId14" display="mailto:orders.uk@carrier.com" xr:uid="{C8307F9E-31E2-4965-B217-6ABB129395A4}"/>
    <hyperlink ref="E15" r:id="rId15" display="orders.ie@carrier.com " xr:uid="{322BC437-F43C-4BF5-A09F-A7F834A07A03}"/>
    <hyperlink ref="E6" r:id="rId16" display="orders.france@carrier.com" xr:uid="{924F7A2C-8056-4ED8-BDC9-DDCFF7082665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65"/>
  <sheetViews>
    <sheetView workbookViewId="0">
      <selection activeCell="A16" sqref="A16"/>
    </sheetView>
  </sheetViews>
  <sheetFormatPr defaultColWidth="0" defaultRowHeight="14.25" zeroHeight="1" x14ac:dyDescent="0.2"/>
  <cols>
    <col min="1" max="1" width="28.75" bestFit="1" customWidth="1"/>
    <col min="2" max="2" width="26" customWidth="1"/>
    <col min="3" max="3" width="46.5" bestFit="1" customWidth="1"/>
    <col min="4" max="4" width="33.875" customWidth="1"/>
    <col min="5" max="5" width="49.375" bestFit="1" customWidth="1"/>
  </cols>
  <sheetData>
    <row r="1" spans="1:5" s="6" customFormat="1" ht="15" x14ac:dyDescent="0.25">
      <c r="A1" s="5" t="s">
        <v>33</v>
      </c>
      <c r="B1" s="5" t="s">
        <v>30</v>
      </c>
      <c r="C1" s="5" t="s">
        <v>32</v>
      </c>
      <c r="D1" s="5" t="s">
        <v>38</v>
      </c>
      <c r="E1" s="5" t="s">
        <v>12</v>
      </c>
    </row>
    <row r="2" spans="1:5" x14ac:dyDescent="0.2">
      <c r="A2" t="s">
        <v>607</v>
      </c>
      <c r="B2" t="s">
        <v>11</v>
      </c>
      <c r="C2" t="s">
        <v>37</v>
      </c>
      <c r="D2" t="s">
        <v>13</v>
      </c>
      <c r="E2" s="21" t="s">
        <v>55</v>
      </c>
    </row>
    <row r="3" spans="1:5" x14ac:dyDescent="0.2">
      <c r="A3" t="s">
        <v>608</v>
      </c>
      <c r="B3" t="s">
        <v>11</v>
      </c>
      <c r="C3" t="s">
        <v>37</v>
      </c>
      <c r="D3" t="s">
        <v>13</v>
      </c>
      <c r="E3" s="21" t="s">
        <v>55</v>
      </c>
    </row>
    <row r="4" spans="1:5" x14ac:dyDescent="0.2">
      <c r="A4" t="s">
        <v>609</v>
      </c>
      <c r="B4" t="s">
        <v>11</v>
      </c>
      <c r="C4" t="s">
        <v>37</v>
      </c>
      <c r="D4" t="s">
        <v>16</v>
      </c>
      <c r="E4" s="21" t="s">
        <v>55</v>
      </c>
    </row>
    <row r="5" spans="1:5" x14ac:dyDescent="0.2">
      <c r="A5" t="s">
        <v>610</v>
      </c>
      <c r="B5" t="s">
        <v>11</v>
      </c>
      <c r="C5" t="s">
        <v>37</v>
      </c>
      <c r="D5" t="s">
        <v>16</v>
      </c>
      <c r="E5" s="21" t="s">
        <v>55</v>
      </c>
    </row>
    <row r="6" spans="1:5" x14ac:dyDescent="0.2">
      <c r="A6" t="s">
        <v>611</v>
      </c>
      <c r="B6" t="s">
        <v>29</v>
      </c>
      <c r="C6" t="s">
        <v>2</v>
      </c>
      <c r="D6" s="21" t="s">
        <v>60</v>
      </c>
      <c r="E6" s="21" t="s">
        <v>55</v>
      </c>
    </row>
    <row r="7" spans="1:5" x14ac:dyDescent="0.2">
      <c r="A7" t="s">
        <v>612</v>
      </c>
      <c r="B7" t="s">
        <v>29</v>
      </c>
      <c r="C7" t="s">
        <v>2</v>
      </c>
      <c r="D7" s="21" t="s">
        <v>60</v>
      </c>
      <c r="E7" t="s">
        <v>14</v>
      </c>
    </row>
    <row r="8" spans="1:5" x14ac:dyDescent="0.2">
      <c r="A8" t="s">
        <v>613</v>
      </c>
      <c r="B8" t="s">
        <v>31</v>
      </c>
      <c r="C8" t="s">
        <v>15</v>
      </c>
      <c r="D8" s="21" t="s">
        <v>60</v>
      </c>
      <c r="E8" s="21" t="s">
        <v>55</v>
      </c>
    </row>
    <row r="9" spans="1:5" x14ac:dyDescent="0.2">
      <c r="A9" t="s">
        <v>614</v>
      </c>
      <c r="B9" t="s">
        <v>29</v>
      </c>
      <c r="C9" t="s">
        <v>2</v>
      </c>
      <c r="D9" s="21" t="s">
        <v>60</v>
      </c>
      <c r="E9" s="21" t="s">
        <v>55</v>
      </c>
    </row>
    <row r="10" spans="1:5" x14ac:dyDescent="0.2">
      <c r="A10" t="s">
        <v>615</v>
      </c>
      <c r="B10" t="s">
        <v>31</v>
      </c>
      <c r="C10" t="s">
        <v>15</v>
      </c>
      <c r="D10" s="21" t="s">
        <v>60</v>
      </c>
      <c r="E10" t="s">
        <v>16</v>
      </c>
    </row>
    <row r="11" spans="1:5" x14ac:dyDescent="0.2">
      <c r="A11" t="s">
        <v>616</v>
      </c>
      <c r="B11" t="s">
        <v>29</v>
      </c>
      <c r="C11" t="s">
        <v>2</v>
      </c>
      <c r="D11" s="21" t="s">
        <v>60</v>
      </c>
      <c r="E11" t="s">
        <v>16</v>
      </c>
    </row>
    <row r="12" spans="1:5" x14ac:dyDescent="0.2">
      <c r="A12" t="s">
        <v>692</v>
      </c>
      <c r="B12" t="s">
        <v>29</v>
      </c>
      <c r="C12" t="s">
        <v>2</v>
      </c>
      <c r="D12" s="21" t="s">
        <v>60</v>
      </c>
    </row>
    <row r="13" spans="1:5" x14ac:dyDescent="0.2">
      <c r="A13" t="s">
        <v>693</v>
      </c>
      <c r="B13" t="s">
        <v>29</v>
      </c>
      <c r="C13" t="s">
        <v>2</v>
      </c>
      <c r="D13" s="21" t="s">
        <v>60</v>
      </c>
    </row>
    <row r="14" spans="1:5" x14ac:dyDescent="0.2">
      <c r="A14" t="s">
        <v>696</v>
      </c>
      <c r="B14" t="s">
        <v>29</v>
      </c>
      <c r="C14" t="s">
        <v>2</v>
      </c>
      <c r="D14" s="21" t="s">
        <v>60</v>
      </c>
    </row>
    <row r="15" spans="1:5" x14ac:dyDescent="0.2">
      <c r="A15" t="s">
        <v>697</v>
      </c>
      <c r="B15" t="s">
        <v>29</v>
      </c>
      <c r="C15" t="s">
        <v>2</v>
      </c>
      <c r="D15" s="21" t="s">
        <v>60</v>
      </c>
    </row>
    <row r="16" spans="1:5" x14ac:dyDescent="0.2">
      <c r="A16" t="s">
        <v>694</v>
      </c>
      <c r="B16" t="s">
        <v>29</v>
      </c>
      <c r="C16" t="s">
        <v>2</v>
      </c>
      <c r="D16" s="21" t="s">
        <v>60</v>
      </c>
    </row>
    <row r="17" spans="1:5" x14ac:dyDescent="0.2">
      <c r="A17" t="s">
        <v>695</v>
      </c>
      <c r="B17" t="s">
        <v>29</v>
      </c>
      <c r="C17" t="s">
        <v>2</v>
      </c>
      <c r="D17" s="21" t="s">
        <v>60</v>
      </c>
    </row>
    <row r="18" spans="1:5" s="6" customFormat="1" ht="15" x14ac:dyDescent="0.25">
      <c r="A18" s="5" t="s">
        <v>34</v>
      </c>
      <c r="B18" s="5" t="s">
        <v>30</v>
      </c>
      <c r="C18" s="5" t="s">
        <v>32</v>
      </c>
      <c r="D18" s="39" t="s">
        <v>38</v>
      </c>
      <c r="E18" s="5" t="s">
        <v>12</v>
      </c>
    </row>
    <row r="19" spans="1:5" x14ac:dyDescent="0.2">
      <c r="A19" t="s">
        <v>61</v>
      </c>
      <c r="B19" t="s">
        <v>31</v>
      </c>
      <c r="C19" t="s">
        <v>675</v>
      </c>
      <c r="D19" t="s">
        <v>105</v>
      </c>
      <c r="E19" t="s">
        <v>35</v>
      </c>
    </row>
    <row r="20" spans="1:5" x14ac:dyDescent="0.2">
      <c r="A20" t="s">
        <v>62</v>
      </c>
      <c r="B20" t="s">
        <v>39</v>
      </c>
      <c r="C20" t="s">
        <v>63</v>
      </c>
      <c r="D20" s="21" t="s">
        <v>55</v>
      </c>
      <c r="E20" s="21" t="s">
        <v>55</v>
      </c>
    </row>
    <row r="21" spans="1:5" x14ac:dyDescent="0.2">
      <c r="A21" t="s">
        <v>65</v>
      </c>
      <c r="B21" t="s">
        <v>31</v>
      </c>
      <c r="C21" t="s">
        <v>675</v>
      </c>
      <c r="D21" t="s">
        <v>105</v>
      </c>
      <c r="E21" t="s">
        <v>35</v>
      </c>
    </row>
    <row r="22" spans="1:5" x14ac:dyDescent="0.2">
      <c r="A22" t="s">
        <v>64</v>
      </c>
      <c r="B22" t="s">
        <v>39</v>
      </c>
      <c r="C22" t="s">
        <v>63</v>
      </c>
      <c r="D22" s="21" t="s">
        <v>55</v>
      </c>
      <c r="E22" s="21" t="s">
        <v>55</v>
      </c>
    </row>
    <row r="23" spans="1:5" x14ac:dyDescent="0.2">
      <c r="A23" t="s">
        <v>67</v>
      </c>
      <c r="B23" t="s">
        <v>31</v>
      </c>
      <c r="C23" t="s">
        <v>676</v>
      </c>
      <c r="D23" t="s">
        <v>111</v>
      </c>
      <c r="E23" s="21" t="s">
        <v>55</v>
      </c>
    </row>
    <row r="24" spans="1:5" x14ac:dyDescent="0.2">
      <c r="A24" t="s">
        <v>66</v>
      </c>
      <c r="B24" t="s">
        <v>39</v>
      </c>
      <c r="C24" t="s">
        <v>63</v>
      </c>
      <c r="D24" s="21" t="s">
        <v>55</v>
      </c>
      <c r="E24" s="21" t="s">
        <v>55</v>
      </c>
    </row>
    <row r="25" spans="1:5" x14ac:dyDescent="0.2">
      <c r="A25" t="s">
        <v>677</v>
      </c>
      <c r="B25" t="s">
        <v>31</v>
      </c>
      <c r="C25" t="s">
        <v>3</v>
      </c>
      <c r="D25" t="s">
        <v>105</v>
      </c>
      <c r="E25" s="21" t="s">
        <v>55</v>
      </c>
    </row>
    <row r="26" spans="1:5" x14ac:dyDescent="0.2">
      <c r="A26" t="s">
        <v>678</v>
      </c>
      <c r="B26" t="s">
        <v>39</v>
      </c>
      <c r="C26" t="s">
        <v>63</v>
      </c>
      <c r="D26" s="21" t="s">
        <v>55</v>
      </c>
      <c r="E26" s="21" t="s">
        <v>55</v>
      </c>
    </row>
    <row r="27" spans="1:5" x14ac:dyDescent="0.2">
      <c r="A27" t="s">
        <v>679</v>
      </c>
      <c r="B27" t="s">
        <v>31</v>
      </c>
      <c r="C27" t="s">
        <v>4</v>
      </c>
      <c r="D27" t="s">
        <v>111</v>
      </c>
      <c r="E27" s="21" t="s">
        <v>55</v>
      </c>
    </row>
    <row r="28" spans="1:5" x14ac:dyDescent="0.2">
      <c r="A28" t="s">
        <v>68</v>
      </c>
      <c r="B28" t="s">
        <v>39</v>
      </c>
      <c r="C28" t="s">
        <v>63</v>
      </c>
      <c r="D28" s="21" t="s">
        <v>55</v>
      </c>
      <c r="E28" s="21" t="s">
        <v>55</v>
      </c>
    </row>
    <row r="29" spans="1:5" x14ac:dyDescent="0.2">
      <c r="A29" t="s">
        <v>69</v>
      </c>
      <c r="B29" t="s">
        <v>31</v>
      </c>
      <c r="C29" t="s">
        <v>680</v>
      </c>
      <c r="D29" t="s">
        <v>111</v>
      </c>
      <c r="E29" s="21" t="s">
        <v>55</v>
      </c>
    </row>
    <row r="30" spans="1:5" x14ac:dyDescent="0.2">
      <c r="A30" t="s">
        <v>70</v>
      </c>
      <c r="B30" t="s">
        <v>39</v>
      </c>
      <c r="C30" t="s">
        <v>63</v>
      </c>
      <c r="D30" s="21" t="s">
        <v>55</v>
      </c>
      <c r="E30" s="21" t="s">
        <v>55</v>
      </c>
    </row>
    <row r="31" spans="1:5" x14ac:dyDescent="0.2">
      <c r="A31" t="s">
        <v>72</v>
      </c>
      <c r="B31" t="s">
        <v>31</v>
      </c>
      <c r="C31" t="s">
        <v>5</v>
      </c>
      <c r="D31" t="s">
        <v>111</v>
      </c>
      <c r="E31" s="21" t="s">
        <v>55</v>
      </c>
    </row>
    <row r="32" spans="1:5" x14ac:dyDescent="0.2">
      <c r="A32" t="s">
        <v>71</v>
      </c>
      <c r="B32" t="s">
        <v>39</v>
      </c>
      <c r="C32" t="s">
        <v>63</v>
      </c>
      <c r="D32" s="21" t="s">
        <v>55</v>
      </c>
      <c r="E32" s="21" t="s">
        <v>55</v>
      </c>
    </row>
    <row r="33" spans="1:5" x14ac:dyDescent="0.2">
      <c r="A33" t="s">
        <v>74</v>
      </c>
      <c r="B33" t="s">
        <v>31</v>
      </c>
      <c r="C33" t="s">
        <v>681</v>
      </c>
      <c r="D33" s="21" t="s">
        <v>55</v>
      </c>
      <c r="E33" s="21" t="s">
        <v>55</v>
      </c>
    </row>
    <row r="34" spans="1:5" x14ac:dyDescent="0.2">
      <c r="A34" t="s">
        <v>73</v>
      </c>
      <c r="B34" t="s">
        <v>39</v>
      </c>
      <c r="C34" t="s">
        <v>63</v>
      </c>
      <c r="D34" s="21" t="s">
        <v>55</v>
      </c>
      <c r="E34" s="21" t="s">
        <v>55</v>
      </c>
    </row>
    <row r="35" spans="1:5" x14ac:dyDescent="0.2">
      <c r="A35" t="s">
        <v>76</v>
      </c>
      <c r="B35" t="s">
        <v>31</v>
      </c>
      <c r="C35" t="s">
        <v>682</v>
      </c>
      <c r="D35" s="21" t="s">
        <v>55</v>
      </c>
      <c r="E35" s="21" t="s">
        <v>55</v>
      </c>
    </row>
    <row r="36" spans="1:5" x14ac:dyDescent="0.2">
      <c r="A36" t="s">
        <v>75</v>
      </c>
      <c r="B36" t="s">
        <v>39</v>
      </c>
      <c r="C36" t="s">
        <v>63</v>
      </c>
      <c r="D36" s="21" t="s">
        <v>55</v>
      </c>
      <c r="E36" s="21" t="s">
        <v>55</v>
      </c>
    </row>
    <row r="37" spans="1:5" x14ac:dyDescent="0.2">
      <c r="A37" t="s">
        <v>79</v>
      </c>
      <c r="B37" t="s">
        <v>31</v>
      </c>
      <c r="C37" t="s">
        <v>681</v>
      </c>
      <c r="D37" s="21" t="s">
        <v>55</v>
      </c>
      <c r="E37" s="21" t="s">
        <v>55</v>
      </c>
    </row>
    <row r="38" spans="1:5" x14ac:dyDescent="0.2">
      <c r="A38" t="s">
        <v>77</v>
      </c>
      <c r="B38" t="s">
        <v>39</v>
      </c>
      <c r="C38" t="s">
        <v>63</v>
      </c>
      <c r="D38" s="21" t="s">
        <v>55</v>
      </c>
      <c r="E38" s="21" t="s">
        <v>55</v>
      </c>
    </row>
    <row r="39" spans="1:5" x14ac:dyDescent="0.2">
      <c r="A39" t="s">
        <v>80</v>
      </c>
      <c r="B39" t="s">
        <v>31</v>
      </c>
      <c r="C39" t="s">
        <v>6</v>
      </c>
      <c r="D39" s="21" t="s">
        <v>55</v>
      </c>
      <c r="E39" s="21" t="s">
        <v>55</v>
      </c>
    </row>
    <row r="40" spans="1:5" x14ac:dyDescent="0.2">
      <c r="A40" t="s">
        <v>81</v>
      </c>
      <c r="B40" t="s">
        <v>39</v>
      </c>
      <c r="C40" t="s">
        <v>63</v>
      </c>
      <c r="D40" s="21" t="s">
        <v>55</v>
      </c>
      <c r="E40" s="21" t="s">
        <v>55</v>
      </c>
    </row>
    <row r="41" spans="1:5" x14ac:dyDescent="0.2">
      <c r="A41" t="s">
        <v>82</v>
      </c>
      <c r="B41" t="s">
        <v>39</v>
      </c>
      <c r="C41" t="s">
        <v>40</v>
      </c>
      <c r="D41" s="21" t="s">
        <v>55</v>
      </c>
      <c r="E41" s="21" t="s">
        <v>55</v>
      </c>
    </row>
    <row r="42" spans="1:5" x14ac:dyDescent="0.2">
      <c r="A42" t="s">
        <v>83</v>
      </c>
      <c r="B42" t="s">
        <v>39</v>
      </c>
      <c r="C42" t="s">
        <v>84</v>
      </c>
      <c r="D42" s="21" t="s">
        <v>55</v>
      </c>
      <c r="E42" s="21" t="s">
        <v>55</v>
      </c>
    </row>
    <row r="43" spans="1:5" x14ac:dyDescent="0.2">
      <c r="A43" t="s">
        <v>85</v>
      </c>
      <c r="B43" t="s">
        <v>39</v>
      </c>
      <c r="C43" t="s">
        <v>40</v>
      </c>
      <c r="D43" s="21" t="s">
        <v>55</v>
      </c>
      <c r="E43" s="21" t="s">
        <v>55</v>
      </c>
    </row>
    <row r="44" spans="1:5" x14ac:dyDescent="0.2">
      <c r="A44" t="s">
        <v>94</v>
      </c>
      <c r="B44" t="s">
        <v>39</v>
      </c>
      <c r="C44" t="s">
        <v>84</v>
      </c>
      <c r="D44" s="21" t="s">
        <v>55</v>
      </c>
      <c r="E44" s="21" t="s">
        <v>55</v>
      </c>
    </row>
    <row r="45" spans="1:5" x14ac:dyDescent="0.2">
      <c r="A45" t="s">
        <v>86</v>
      </c>
      <c r="B45" t="s">
        <v>39</v>
      </c>
      <c r="C45" t="s">
        <v>40</v>
      </c>
      <c r="D45" s="21" t="s">
        <v>55</v>
      </c>
      <c r="E45" s="21" t="s">
        <v>55</v>
      </c>
    </row>
    <row r="46" spans="1:5" x14ac:dyDescent="0.2">
      <c r="A46" t="s">
        <v>95</v>
      </c>
      <c r="B46" t="s">
        <v>39</v>
      </c>
      <c r="C46" t="s">
        <v>84</v>
      </c>
      <c r="D46" s="21" t="s">
        <v>55</v>
      </c>
      <c r="E46" s="21" t="s">
        <v>55</v>
      </c>
    </row>
    <row r="47" spans="1:5" x14ac:dyDescent="0.2">
      <c r="A47" t="s">
        <v>87</v>
      </c>
      <c r="B47" t="s">
        <v>39</v>
      </c>
      <c r="C47" t="s">
        <v>40</v>
      </c>
      <c r="D47" s="21" t="s">
        <v>55</v>
      </c>
      <c r="E47" s="21" t="s">
        <v>55</v>
      </c>
    </row>
    <row r="48" spans="1:5" x14ac:dyDescent="0.2">
      <c r="A48" t="s">
        <v>96</v>
      </c>
      <c r="B48" t="s">
        <v>39</v>
      </c>
      <c r="C48" t="s">
        <v>84</v>
      </c>
      <c r="D48" s="21" t="s">
        <v>55</v>
      </c>
      <c r="E48" s="21" t="s">
        <v>55</v>
      </c>
    </row>
    <row r="49" spans="1:5" x14ac:dyDescent="0.2">
      <c r="A49" t="s">
        <v>88</v>
      </c>
      <c r="B49" t="s">
        <v>39</v>
      </c>
      <c r="C49" t="s">
        <v>40</v>
      </c>
      <c r="D49" s="21" t="s">
        <v>55</v>
      </c>
      <c r="E49" s="21" t="s">
        <v>55</v>
      </c>
    </row>
    <row r="50" spans="1:5" x14ac:dyDescent="0.2">
      <c r="A50" t="s">
        <v>97</v>
      </c>
      <c r="B50" t="s">
        <v>39</v>
      </c>
      <c r="C50" t="s">
        <v>84</v>
      </c>
      <c r="D50" s="21" t="s">
        <v>55</v>
      </c>
      <c r="E50" s="21" t="s">
        <v>55</v>
      </c>
    </row>
    <row r="51" spans="1:5" x14ac:dyDescent="0.2">
      <c r="A51" t="s">
        <v>89</v>
      </c>
      <c r="B51" t="s">
        <v>39</v>
      </c>
      <c r="C51" t="s">
        <v>40</v>
      </c>
      <c r="D51" s="21" t="s">
        <v>55</v>
      </c>
      <c r="E51" s="21" t="s">
        <v>55</v>
      </c>
    </row>
    <row r="52" spans="1:5" x14ac:dyDescent="0.2">
      <c r="A52" t="s">
        <v>98</v>
      </c>
      <c r="B52" t="s">
        <v>39</v>
      </c>
      <c r="C52" t="s">
        <v>84</v>
      </c>
      <c r="D52" s="21" t="s">
        <v>55</v>
      </c>
      <c r="E52" s="21" t="s">
        <v>55</v>
      </c>
    </row>
    <row r="53" spans="1:5" x14ac:dyDescent="0.2">
      <c r="A53" t="s">
        <v>90</v>
      </c>
      <c r="B53" t="s">
        <v>39</v>
      </c>
      <c r="C53" t="s">
        <v>40</v>
      </c>
      <c r="D53" s="21" t="s">
        <v>55</v>
      </c>
      <c r="E53" s="21" t="s">
        <v>55</v>
      </c>
    </row>
    <row r="54" spans="1:5" x14ac:dyDescent="0.2">
      <c r="A54" t="s">
        <v>99</v>
      </c>
      <c r="B54" t="s">
        <v>39</v>
      </c>
      <c r="C54" t="s">
        <v>84</v>
      </c>
      <c r="D54" s="21" t="s">
        <v>55</v>
      </c>
      <c r="E54" s="21" t="s">
        <v>55</v>
      </c>
    </row>
    <row r="55" spans="1:5" x14ac:dyDescent="0.2">
      <c r="A55" t="s">
        <v>91</v>
      </c>
      <c r="B55" t="s">
        <v>39</v>
      </c>
      <c r="C55" t="s">
        <v>40</v>
      </c>
      <c r="D55" s="21" t="s">
        <v>55</v>
      </c>
      <c r="E55" s="21" t="s">
        <v>55</v>
      </c>
    </row>
    <row r="56" spans="1:5" x14ac:dyDescent="0.2">
      <c r="A56" t="s">
        <v>100</v>
      </c>
      <c r="B56" t="s">
        <v>39</v>
      </c>
      <c r="C56" t="s">
        <v>84</v>
      </c>
      <c r="D56" s="21" t="s">
        <v>55</v>
      </c>
      <c r="E56" s="21" t="s">
        <v>55</v>
      </c>
    </row>
    <row r="57" spans="1:5" x14ac:dyDescent="0.2">
      <c r="A57" t="s">
        <v>92</v>
      </c>
      <c r="B57" t="s">
        <v>39</v>
      </c>
      <c r="C57" t="s">
        <v>40</v>
      </c>
      <c r="D57" s="21" t="s">
        <v>55</v>
      </c>
      <c r="E57" s="21" t="s">
        <v>55</v>
      </c>
    </row>
    <row r="58" spans="1:5" x14ac:dyDescent="0.2">
      <c r="A58" t="s">
        <v>101</v>
      </c>
      <c r="B58" t="s">
        <v>39</v>
      </c>
      <c r="C58" t="s">
        <v>84</v>
      </c>
      <c r="D58" s="21" t="s">
        <v>55</v>
      </c>
      <c r="E58" s="21" t="s">
        <v>55</v>
      </c>
    </row>
    <row r="59" spans="1:5" x14ac:dyDescent="0.2">
      <c r="A59" t="s">
        <v>78</v>
      </c>
      <c r="B59" t="s">
        <v>39</v>
      </c>
      <c r="C59" t="s">
        <v>40</v>
      </c>
      <c r="D59" s="21" t="s">
        <v>55</v>
      </c>
      <c r="E59" s="21" t="s">
        <v>55</v>
      </c>
    </row>
    <row r="60" spans="1:5" x14ac:dyDescent="0.2">
      <c r="A60" t="s">
        <v>102</v>
      </c>
      <c r="B60" t="s">
        <v>39</v>
      </c>
      <c r="C60" t="s">
        <v>84</v>
      </c>
      <c r="D60" s="21" t="s">
        <v>55</v>
      </c>
      <c r="E60" s="21" t="s">
        <v>55</v>
      </c>
    </row>
    <row r="61" spans="1:5" x14ac:dyDescent="0.2">
      <c r="A61" t="s">
        <v>93</v>
      </c>
      <c r="B61" t="s">
        <v>39</v>
      </c>
      <c r="C61" t="s">
        <v>40</v>
      </c>
      <c r="D61" s="21" t="s">
        <v>55</v>
      </c>
      <c r="E61" s="21" t="s">
        <v>55</v>
      </c>
    </row>
    <row r="62" spans="1:5" x14ac:dyDescent="0.2">
      <c r="A62" t="s">
        <v>103</v>
      </c>
      <c r="B62" t="s">
        <v>39</v>
      </c>
      <c r="C62" t="s">
        <v>84</v>
      </c>
      <c r="D62" s="21" t="s">
        <v>55</v>
      </c>
      <c r="E62" s="21" t="s">
        <v>55</v>
      </c>
    </row>
    <row r="63" spans="1:5" x14ac:dyDescent="0.2"/>
    <row r="64" spans="1:5" x14ac:dyDescent="0.2"/>
    <row r="65" x14ac:dyDescent="0.2"/>
  </sheetData>
  <customSheetViews>
    <customSheetView guid="{87CD69FC-848B-40E1-91A8-CCF9DCB9DDC8}" state="hidden">
      <selection activeCell="D25" sqref="D25"/>
      <pageMargins left="0.7" right="0.7" top="0.75" bottom="0.75" header="0.3" footer="0.3"/>
      <pageSetup paperSize="9" orientation="landscape" r:id="rId1"/>
    </customSheetView>
    <customSheetView guid="{1D305916-1627-405A-9CD6-E1762D8CFD35}" state="hidden">
      <selection activeCell="D25" sqref="D25"/>
      <pageMargins left="0.7" right="0.7" top="0.75" bottom="0.75" header="0.3" footer="0.3"/>
      <pageSetup paperSize="9" orientation="landscape" r:id="rId2"/>
    </customSheetView>
  </customSheetViews>
  <pageMargins left="0.7" right="0.7" top="0.75" bottom="0.75" header="0.3" footer="0.3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7"/>
  <sheetViews>
    <sheetView zoomScaleNormal="100" workbookViewId="0">
      <selection activeCell="B3" sqref="B3"/>
    </sheetView>
  </sheetViews>
  <sheetFormatPr defaultColWidth="9" defaultRowHeight="14.25" x14ac:dyDescent="0.2"/>
  <cols>
    <col min="1" max="1" width="4.875" style="206" customWidth="1"/>
    <col min="2" max="2" width="10.375" style="208" bestFit="1" customWidth="1"/>
    <col min="3" max="3" width="9.25" style="206" bestFit="1" customWidth="1"/>
    <col min="4" max="4" width="10.875" style="225" bestFit="1" customWidth="1"/>
    <col min="5" max="5" width="7.625" style="206" bestFit="1" customWidth="1"/>
    <col min="6" max="6" width="9" style="206" bestFit="1" customWidth="1"/>
    <col min="7" max="7" width="14.375" style="206" bestFit="1" customWidth="1"/>
    <col min="8" max="8" width="14.375" style="206" customWidth="1"/>
    <col min="9" max="9" width="11.25" style="206" bestFit="1" customWidth="1"/>
    <col min="10" max="10" width="9.125" style="206" bestFit="1" customWidth="1"/>
    <col min="11" max="11" width="8.625" style="206" bestFit="1" customWidth="1"/>
    <col min="12" max="12" width="14.25" style="206" bestFit="1" customWidth="1"/>
    <col min="13" max="13" width="9.375" style="206" bestFit="1" customWidth="1"/>
    <col min="14" max="14" width="9.75" style="206" bestFit="1" customWidth="1"/>
    <col min="15" max="15" width="11.875" style="206" customWidth="1"/>
    <col min="16" max="18" width="8.75" customWidth="1"/>
    <col min="19" max="16384" width="9" style="206"/>
  </cols>
  <sheetData>
    <row r="1" spans="1:14" ht="15" x14ac:dyDescent="0.25">
      <c r="A1" s="206" t="s">
        <v>517</v>
      </c>
      <c r="B1" s="212" t="s">
        <v>516</v>
      </c>
      <c r="C1" s="158" t="s">
        <v>120</v>
      </c>
      <c r="D1" s="222" t="s">
        <v>604</v>
      </c>
      <c r="E1" s="158" t="s">
        <v>121</v>
      </c>
      <c r="F1" s="144" t="s">
        <v>122</v>
      </c>
      <c r="G1" s="220" t="s">
        <v>369</v>
      </c>
      <c r="H1" s="239" t="s">
        <v>708</v>
      </c>
      <c r="I1" s="144" t="s">
        <v>123</v>
      </c>
      <c r="J1" s="144" t="s">
        <v>124</v>
      </c>
      <c r="K1" s="221" t="s">
        <v>125</v>
      </c>
      <c r="L1" s="221" t="s">
        <v>471</v>
      </c>
      <c r="M1" s="226" t="s">
        <v>666</v>
      </c>
      <c r="N1" s="177" t="s">
        <v>265</v>
      </c>
    </row>
    <row r="2" spans="1:14" ht="15" x14ac:dyDescent="0.25">
      <c r="A2" s="206" t="s">
        <v>518</v>
      </c>
      <c r="B2" s="207" t="str">
        <f>HLOOKUP('RMA form'!$D$2,C:N,A2,FALSE)</f>
        <v>Mnd-JJ</v>
      </c>
      <c r="C2" s="209" t="s">
        <v>606</v>
      </c>
      <c r="D2" s="223" t="s">
        <v>515</v>
      </c>
      <c r="E2" s="209" t="s">
        <v>605</v>
      </c>
      <c r="F2" s="209" t="s">
        <v>617</v>
      </c>
      <c r="G2" s="209" t="s">
        <v>617</v>
      </c>
      <c r="H2" s="209" t="s">
        <v>753</v>
      </c>
      <c r="I2" s="209" t="s">
        <v>618</v>
      </c>
      <c r="J2" s="209" t="s">
        <v>673</v>
      </c>
      <c r="K2" s="209" t="s">
        <v>617</v>
      </c>
      <c r="L2" s="209" t="s">
        <v>672</v>
      </c>
      <c r="M2" s="209" t="s">
        <v>674</v>
      </c>
      <c r="N2" s="209" t="s">
        <v>619</v>
      </c>
    </row>
    <row r="3" spans="1:14" x14ac:dyDescent="0.2">
      <c r="A3" s="206" t="s">
        <v>519</v>
      </c>
      <c r="B3" s="207" t="str">
        <f>HLOOKUP('RMA form'!$D$2,C:N,A3,FALSE)</f>
        <v>&lt; 2020</v>
      </c>
      <c r="C3" s="206" t="s">
        <v>1463</v>
      </c>
      <c r="D3" s="224" t="s">
        <v>1463</v>
      </c>
      <c r="E3" s="206" t="s">
        <v>1463</v>
      </c>
      <c r="F3" s="206" t="s">
        <v>1463</v>
      </c>
      <c r="G3" s="206" t="s">
        <v>1463</v>
      </c>
      <c r="H3" s="206" t="s">
        <v>1463</v>
      </c>
      <c r="I3" s="206" t="s">
        <v>1463</v>
      </c>
      <c r="J3" s="206" t="s">
        <v>1463</v>
      </c>
      <c r="K3" s="206" t="s">
        <v>1463</v>
      </c>
      <c r="L3" s="206" t="s">
        <v>1463</v>
      </c>
      <c r="M3" s="206" t="s">
        <v>1463</v>
      </c>
      <c r="N3" s="206" t="s">
        <v>1463</v>
      </c>
    </row>
    <row r="4" spans="1:14" x14ac:dyDescent="0.2">
      <c r="A4" s="206" t="s">
        <v>520</v>
      </c>
      <c r="B4" s="207" t="str">
        <f>HLOOKUP('RMA form'!$D$2,C:N,A4,FALSE)</f>
        <v>jan-20</v>
      </c>
      <c r="C4" s="206" t="s">
        <v>787</v>
      </c>
      <c r="D4" s="224" t="s">
        <v>785</v>
      </c>
      <c r="E4" s="206" t="s">
        <v>988</v>
      </c>
      <c r="F4" s="206" t="s">
        <v>811</v>
      </c>
      <c r="G4" s="206" t="s">
        <v>787</v>
      </c>
      <c r="H4" s="206" t="s">
        <v>833</v>
      </c>
      <c r="I4" s="206" t="s">
        <v>857</v>
      </c>
      <c r="J4" s="206" t="s">
        <v>881</v>
      </c>
      <c r="K4" s="206" t="s">
        <v>905</v>
      </c>
      <c r="L4" s="206" t="s">
        <v>917</v>
      </c>
      <c r="M4" s="206" t="s">
        <v>941</v>
      </c>
      <c r="N4" s="206" t="s">
        <v>1512</v>
      </c>
    </row>
    <row r="5" spans="1:14" x14ac:dyDescent="0.2">
      <c r="A5" s="206" t="s">
        <v>521</v>
      </c>
      <c r="B5" s="207" t="str">
        <f>HLOOKUP('RMA form'!$D$2,C:N,A5,FALSE)</f>
        <v>feb-20</v>
      </c>
      <c r="C5" s="206" t="s">
        <v>788</v>
      </c>
      <c r="D5" s="224" t="s">
        <v>786</v>
      </c>
      <c r="E5" s="206" t="s">
        <v>989</v>
      </c>
      <c r="F5" s="206" t="s">
        <v>788</v>
      </c>
      <c r="G5" s="206" t="s">
        <v>819</v>
      </c>
      <c r="H5" s="206" t="s">
        <v>834</v>
      </c>
      <c r="I5" s="206" t="s">
        <v>858</v>
      </c>
      <c r="J5" s="206" t="s">
        <v>882</v>
      </c>
      <c r="K5" s="206" t="s">
        <v>788</v>
      </c>
      <c r="L5" s="206" t="s">
        <v>918</v>
      </c>
      <c r="M5" s="206" t="s">
        <v>942</v>
      </c>
      <c r="N5" s="206" t="s">
        <v>965</v>
      </c>
    </row>
    <row r="6" spans="1:14" x14ac:dyDescent="0.2">
      <c r="A6" s="206" t="s">
        <v>522</v>
      </c>
      <c r="B6" s="207" t="str">
        <f>HLOOKUP('RMA form'!$D$2,C:N,A6,FALSE)</f>
        <v>mrt-20</v>
      </c>
      <c r="C6" s="206" t="s">
        <v>789</v>
      </c>
      <c r="D6" s="224" t="s">
        <v>1065</v>
      </c>
      <c r="E6" s="206" t="s">
        <v>990</v>
      </c>
      <c r="F6" s="206" t="s">
        <v>789</v>
      </c>
      <c r="G6" s="206" t="s">
        <v>789</v>
      </c>
      <c r="H6" s="206" t="s">
        <v>835</v>
      </c>
      <c r="I6" s="206" t="s">
        <v>859</v>
      </c>
      <c r="J6" s="206" t="s">
        <v>883</v>
      </c>
      <c r="K6" s="206" t="s">
        <v>789</v>
      </c>
      <c r="L6" s="206" t="s">
        <v>919</v>
      </c>
      <c r="M6" s="206" t="s">
        <v>943</v>
      </c>
      <c r="N6" s="206" t="s">
        <v>966</v>
      </c>
    </row>
    <row r="7" spans="1:14" x14ac:dyDescent="0.2">
      <c r="A7" s="206" t="s">
        <v>523</v>
      </c>
      <c r="B7" s="207" t="str">
        <f>HLOOKUP('RMA form'!$D$2,C:N,A7,FALSE)</f>
        <v>apr-20</v>
      </c>
      <c r="C7" s="206" t="s">
        <v>790</v>
      </c>
      <c r="D7" s="224" t="s">
        <v>1066</v>
      </c>
      <c r="E7" s="206" t="s">
        <v>991</v>
      </c>
      <c r="F7" s="206" t="s">
        <v>812</v>
      </c>
      <c r="G7" s="206" t="s">
        <v>820</v>
      </c>
      <c r="H7" s="206" t="s">
        <v>836</v>
      </c>
      <c r="I7" s="206" t="s">
        <v>860</v>
      </c>
      <c r="J7" s="206" t="s">
        <v>884</v>
      </c>
      <c r="K7" s="206" t="s">
        <v>790</v>
      </c>
      <c r="L7" s="206" t="s">
        <v>920</v>
      </c>
      <c r="M7" s="206" t="s">
        <v>944</v>
      </c>
      <c r="N7" s="206" t="s">
        <v>967</v>
      </c>
    </row>
    <row r="8" spans="1:14" x14ac:dyDescent="0.2">
      <c r="A8" s="206" t="s">
        <v>524</v>
      </c>
      <c r="B8" s="207" t="str">
        <f>HLOOKUP('RMA form'!$D$2,C:N,A8,FALSE)</f>
        <v>mei-20</v>
      </c>
      <c r="C8" s="206" t="s">
        <v>791</v>
      </c>
      <c r="D8" s="224" t="s">
        <v>1067</v>
      </c>
      <c r="E8" s="206" t="s">
        <v>992</v>
      </c>
      <c r="F8" s="206" t="s">
        <v>791</v>
      </c>
      <c r="G8" s="206" t="s">
        <v>821</v>
      </c>
      <c r="H8" s="206" t="s">
        <v>837</v>
      </c>
      <c r="I8" s="206" t="s">
        <v>861</v>
      </c>
      <c r="J8" s="206" t="s">
        <v>885</v>
      </c>
      <c r="K8" s="206" t="s">
        <v>906</v>
      </c>
      <c r="L8" s="206" t="s">
        <v>921</v>
      </c>
      <c r="M8" s="206" t="s">
        <v>945</v>
      </c>
      <c r="N8" s="206" t="s">
        <v>968</v>
      </c>
    </row>
    <row r="9" spans="1:14" x14ac:dyDescent="0.2">
      <c r="A9" s="206" t="s">
        <v>525</v>
      </c>
      <c r="B9" s="207" t="str">
        <f>HLOOKUP('RMA form'!$D$2,C:N,A9,FALSE)</f>
        <v>jun-20</v>
      </c>
      <c r="C9" s="206" t="s">
        <v>792</v>
      </c>
      <c r="D9" s="224" t="s">
        <v>1068</v>
      </c>
      <c r="E9" s="206" t="s">
        <v>993</v>
      </c>
      <c r="F9" s="206" t="s">
        <v>792</v>
      </c>
      <c r="G9" s="206" t="s">
        <v>792</v>
      </c>
      <c r="H9" s="206" t="s">
        <v>838</v>
      </c>
      <c r="I9" s="206" t="s">
        <v>862</v>
      </c>
      <c r="J9" s="206" t="s">
        <v>886</v>
      </c>
      <c r="K9" s="206" t="s">
        <v>907</v>
      </c>
      <c r="L9" s="206" t="s">
        <v>922</v>
      </c>
      <c r="M9" s="206" t="s">
        <v>946</v>
      </c>
      <c r="N9" s="206" t="s">
        <v>969</v>
      </c>
    </row>
    <row r="10" spans="1:14" x14ac:dyDescent="0.2">
      <c r="A10" s="206" t="s">
        <v>526</v>
      </c>
      <c r="B10" s="207" t="str">
        <f>HLOOKUP('RMA form'!$D$2,C:N,A10,FALSE)</f>
        <v>jul-20</v>
      </c>
      <c r="C10" s="206" t="s">
        <v>793</v>
      </c>
      <c r="D10" s="224" t="s">
        <v>1069</v>
      </c>
      <c r="E10" s="206" t="s">
        <v>994</v>
      </c>
      <c r="F10" s="206" t="s">
        <v>793</v>
      </c>
      <c r="G10" s="206" t="s">
        <v>793</v>
      </c>
      <c r="H10" s="206" t="s">
        <v>839</v>
      </c>
      <c r="I10" s="206" t="s">
        <v>863</v>
      </c>
      <c r="J10" s="206" t="s">
        <v>887</v>
      </c>
      <c r="K10" s="206" t="s">
        <v>908</v>
      </c>
      <c r="L10" s="206" t="s">
        <v>923</v>
      </c>
      <c r="M10" s="206" t="s">
        <v>947</v>
      </c>
      <c r="N10" s="206" t="s">
        <v>970</v>
      </c>
    </row>
    <row r="11" spans="1:14" x14ac:dyDescent="0.2">
      <c r="A11" s="206" t="s">
        <v>527</v>
      </c>
      <c r="B11" s="207" t="str">
        <f>HLOOKUP('RMA form'!$D$2,C:N,A11,FALSE)</f>
        <v>aug-20</v>
      </c>
      <c r="C11" s="206" t="s">
        <v>794</v>
      </c>
      <c r="D11" s="224" t="s">
        <v>1070</v>
      </c>
      <c r="E11" s="206" t="s">
        <v>995</v>
      </c>
      <c r="F11" s="206" t="s">
        <v>813</v>
      </c>
      <c r="G11" s="206" t="s">
        <v>822</v>
      </c>
      <c r="H11" s="206" t="s">
        <v>840</v>
      </c>
      <c r="I11" s="206" t="s">
        <v>864</v>
      </c>
      <c r="J11" s="206" t="s">
        <v>888</v>
      </c>
      <c r="K11" s="206" t="s">
        <v>813</v>
      </c>
      <c r="L11" s="206" t="s">
        <v>924</v>
      </c>
      <c r="M11" s="206" t="s">
        <v>948</v>
      </c>
      <c r="N11" s="206" t="s">
        <v>971</v>
      </c>
    </row>
    <row r="12" spans="1:14" x14ac:dyDescent="0.2">
      <c r="A12" s="206" t="s">
        <v>528</v>
      </c>
      <c r="B12" s="207" t="str">
        <f>HLOOKUP('RMA form'!$D$2,C:N,A12,FALSE)</f>
        <v>sep-20</v>
      </c>
      <c r="C12" s="206" t="s">
        <v>795</v>
      </c>
      <c r="D12" s="224" t="s">
        <v>1071</v>
      </c>
      <c r="E12" s="206" t="s">
        <v>996</v>
      </c>
      <c r="F12" s="206" t="s">
        <v>795</v>
      </c>
      <c r="G12" s="206" t="s">
        <v>823</v>
      </c>
      <c r="H12" s="206" t="s">
        <v>841</v>
      </c>
      <c r="I12" s="206" t="s">
        <v>865</v>
      </c>
      <c r="J12" s="206" t="s">
        <v>889</v>
      </c>
      <c r="K12" s="206" t="s">
        <v>909</v>
      </c>
      <c r="L12" s="206" t="s">
        <v>925</v>
      </c>
      <c r="M12" s="206" t="s">
        <v>949</v>
      </c>
      <c r="N12" s="206" t="s">
        <v>972</v>
      </c>
    </row>
    <row r="13" spans="1:14" x14ac:dyDescent="0.2">
      <c r="A13" s="206" t="s">
        <v>529</v>
      </c>
      <c r="B13" s="207" t="str">
        <f>HLOOKUP('RMA form'!$D$2,C:N,A13,FALSE)</f>
        <v>okt-20</v>
      </c>
      <c r="C13" s="206" t="s">
        <v>796</v>
      </c>
      <c r="D13" s="224" t="s">
        <v>1072</v>
      </c>
      <c r="E13" s="206" t="s">
        <v>997</v>
      </c>
      <c r="F13" s="206" t="s">
        <v>796</v>
      </c>
      <c r="G13" s="206" t="s">
        <v>824</v>
      </c>
      <c r="H13" s="206" t="s">
        <v>842</v>
      </c>
      <c r="I13" s="206" t="s">
        <v>866</v>
      </c>
      <c r="J13" s="206" t="s">
        <v>890</v>
      </c>
      <c r="K13" s="206" t="s">
        <v>910</v>
      </c>
      <c r="L13" s="206" t="s">
        <v>926</v>
      </c>
      <c r="M13" s="206" t="s">
        <v>950</v>
      </c>
      <c r="N13" s="206" t="s">
        <v>973</v>
      </c>
    </row>
    <row r="14" spans="1:14" x14ac:dyDescent="0.2">
      <c r="A14" s="206" t="s">
        <v>530</v>
      </c>
      <c r="B14" s="207" t="str">
        <f>HLOOKUP('RMA form'!$D$2,C:N,A14,FALSE)</f>
        <v>nov-20</v>
      </c>
      <c r="C14" s="206" t="s">
        <v>797</v>
      </c>
      <c r="D14" s="224" t="s">
        <v>1073</v>
      </c>
      <c r="E14" s="206" t="s">
        <v>998</v>
      </c>
      <c r="F14" s="206" t="s">
        <v>797</v>
      </c>
      <c r="G14" s="206" t="s">
        <v>797</v>
      </c>
      <c r="H14" s="206" t="s">
        <v>843</v>
      </c>
      <c r="I14" s="206" t="s">
        <v>867</v>
      </c>
      <c r="J14" s="206" t="s">
        <v>891</v>
      </c>
      <c r="K14" s="206" t="s">
        <v>797</v>
      </c>
      <c r="L14" s="206" t="s">
        <v>927</v>
      </c>
      <c r="M14" s="206" t="s">
        <v>951</v>
      </c>
      <c r="N14" s="206" t="s">
        <v>974</v>
      </c>
    </row>
    <row r="15" spans="1:14" x14ac:dyDescent="0.2">
      <c r="A15" s="206" t="s">
        <v>531</v>
      </c>
      <c r="B15" s="207" t="str">
        <f>HLOOKUP('RMA form'!$D$2,C:N,A15,FALSE)</f>
        <v>dec-20</v>
      </c>
      <c r="C15" s="206" t="s">
        <v>798</v>
      </c>
      <c r="D15" s="224" t="s">
        <v>1074</v>
      </c>
      <c r="E15" s="206" t="s">
        <v>999</v>
      </c>
      <c r="F15" s="206" t="s">
        <v>814</v>
      </c>
      <c r="G15" s="206" t="s">
        <v>825</v>
      </c>
      <c r="H15" s="206" t="s">
        <v>844</v>
      </c>
      <c r="I15" s="206" t="s">
        <v>868</v>
      </c>
      <c r="J15" s="206" t="s">
        <v>892</v>
      </c>
      <c r="K15" s="206" t="s">
        <v>814</v>
      </c>
      <c r="L15" s="206" t="s">
        <v>928</v>
      </c>
      <c r="M15" s="206" t="s">
        <v>952</v>
      </c>
      <c r="N15" s="206" t="s">
        <v>975</v>
      </c>
    </row>
    <row r="16" spans="1:14" x14ac:dyDescent="0.2">
      <c r="A16" s="206" t="s">
        <v>532</v>
      </c>
      <c r="B16" s="207" t="str">
        <f>HLOOKUP('RMA form'!$D$2,C:N,A16,FALSE)</f>
        <v>jan-21</v>
      </c>
      <c r="C16" s="206" t="s">
        <v>799</v>
      </c>
      <c r="D16" s="224" t="s">
        <v>1075</v>
      </c>
      <c r="E16" s="206" t="s">
        <v>1000</v>
      </c>
      <c r="F16" s="206" t="s">
        <v>815</v>
      </c>
      <c r="G16" s="206" t="s">
        <v>799</v>
      </c>
      <c r="H16" s="206" t="s">
        <v>845</v>
      </c>
      <c r="I16" s="206" t="s">
        <v>869</v>
      </c>
      <c r="J16" s="206" t="s">
        <v>893</v>
      </c>
      <c r="K16" s="206" t="s">
        <v>911</v>
      </c>
      <c r="L16" s="206" t="s">
        <v>929</v>
      </c>
      <c r="M16" s="206" t="s">
        <v>953</v>
      </c>
      <c r="N16" s="206" t="s">
        <v>976</v>
      </c>
    </row>
    <row r="17" spans="1:14" x14ac:dyDescent="0.2">
      <c r="A17" s="206" t="s">
        <v>533</v>
      </c>
      <c r="B17" s="207" t="str">
        <f>HLOOKUP('RMA form'!$D$2,C:N,A17,FALSE)</f>
        <v>feb-21</v>
      </c>
      <c r="C17" s="206" t="s">
        <v>800</v>
      </c>
      <c r="D17" s="224" t="s">
        <v>1076</v>
      </c>
      <c r="E17" s="206" t="s">
        <v>1001</v>
      </c>
      <c r="F17" s="206" t="s">
        <v>800</v>
      </c>
      <c r="G17" s="206" t="s">
        <v>826</v>
      </c>
      <c r="H17" s="206" t="s">
        <v>846</v>
      </c>
      <c r="I17" s="206" t="s">
        <v>870</v>
      </c>
      <c r="J17" s="206" t="s">
        <v>894</v>
      </c>
      <c r="K17" s="206" t="s">
        <v>800</v>
      </c>
      <c r="L17" s="206" t="s">
        <v>930</v>
      </c>
      <c r="M17" s="206" t="s">
        <v>954</v>
      </c>
      <c r="N17" s="206" t="s">
        <v>977</v>
      </c>
    </row>
    <row r="18" spans="1:14" x14ac:dyDescent="0.2">
      <c r="A18" s="206" t="s">
        <v>534</v>
      </c>
      <c r="B18" s="207" t="str">
        <f>HLOOKUP('RMA form'!$D$2,C:N,A18,FALSE)</f>
        <v>mrt-21</v>
      </c>
      <c r="C18" s="206" t="s">
        <v>801</v>
      </c>
      <c r="D18" s="224" t="s">
        <v>1077</v>
      </c>
      <c r="E18" s="206" t="s">
        <v>1002</v>
      </c>
      <c r="F18" s="206" t="s">
        <v>801</v>
      </c>
      <c r="G18" s="206" t="s">
        <v>801</v>
      </c>
      <c r="H18" s="206" t="s">
        <v>847</v>
      </c>
      <c r="I18" s="206" t="s">
        <v>871</v>
      </c>
      <c r="J18" s="206" t="s">
        <v>895</v>
      </c>
      <c r="K18" s="206" t="s">
        <v>801</v>
      </c>
      <c r="L18" s="206" t="s">
        <v>931</v>
      </c>
      <c r="M18" s="206" t="s">
        <v>955</v>
      </c>
      <c r="N18" s="206" t="s">
        <v>978</v>
      </c>
    </row>
    <row r="19" spans="1:14" x14ac:dyDescent="0.2">
      <c r="A19" s="206" t="s">
        <v>535</v>
      </c>
      <c r="B19" s="207" t="str">
        <f>HLOOKUP('RMA form'!$D$2,C:N,A19,FALSE)</f>
        <v>apr-21</v>
      </c>
      <c r="C19" s="206" t="s">
        <v>802</v>
      </c>
      <c r="D19" s="224" t="s">
        <v>1078</v>
      </c>
      <c r="E19" s="206" t="s">
        <v>1003</v>
      </c>
      <c r="F19" s="206" t="s">
        <v>816</v>
      </c>
      <c r="G19" s="206" t="s">
        <v>827</v>
      </c>
      <c r="H19" s="206" t="s">
        <v>848</v>
      </c>
      <c r="I19" s="206" t="s">
        <v>872</v>
      </c>
      <c r="J19" s="206" t="s">
        <v>896</v>
      </c>
      <c r="K19" s="206" t="s">
        <v>802</v>
      </c>
      <c r="L19" s="206" t="s">
        <v>932</v>
      </c>
      <c r="M19" s="206" t="s">
        <v>956</v>
      </c>
      <c r="N19" s="206" t="s">
        <v>979</v>
      </c>
    </row>
    <row r="20" spans="1:14" x14ac:dyDescent="0.2">
      <c r="A20" s="206" t="s">
        <v>536</v>
      </c>
      <c r="B20" s="207" t="str">
        <f>HLOOKUP('RMA form'!$D$2,C:N,A20,FALSE)</f>
        <v>mei-21</v>
      </c>
      <c r="C20" s="206" t="s">
        <v>803</v>
      </c>
      <c r="D20" s="224" t="s">
        <v>1079</v>
      </c>
      <c r="E20" s="206" t="s">
        <v>1004</v>
      </c>
      <c r="F20" s="206" t="s">
        <v>803</v>
      </c>
      <c r="G20" s="206" t="s">
        <v>828</v>
      </c>
      <c r="H20" s="206" t="s">
        <v>849</v>
      </c>
      <c r="I20" s="206" t="s">
        <v>873</v>
      </c>
      <c r="J20" s="206" t="s">
        <v>897</v>
      </c>
      <c r="K20" s="206" t="s">
        <v>912</v>
      </c>
      <c r="L20" s="206" t="s">
        <v>933</v>
      </c>
      <c r="M20" s="206" t="s">
        <v>957</v>
      </c>
      <c r="N20" s="206" t="s">
        <v>980</v>
      </c>
    </row>
    <row r="21" spans="1:14" x14ac:dyDescent="0.2">
      <c r="A21" s="206" t="s">
        <v>537</v>
      </c>
      <c r="B21" s="207" t="str">
        <f>HLOOKUP('RMA form'!$D$2,C:N,A21,FALSE)</f>
        <v>jun-21</v>
      </c>
      <c r="C21" s="206" t="s">
        <v>804</v>
      </c>
      <c r="D21" s="224" t="s">
        <v>1080</v>
      </c>
      <c r="E21" s="206" t="s">
        <v>1005</v>
      </c>
      <c r="F21" s="206" t="s">
        <v>804</v>
      </c>
      <c r="G21" s="206" t="s">
        <v>804</v>
      </c>
      <c r="H21" s="206" t="s">
        <v>850</v>
      </c>
      <c r="I21" s="206" t="s">
        <v>874</v>
      </c>
      <c r="J21" s="206" t="s">
        <v>898</v>
      </c>
      <c r="K21" s="206" t="s">
        <v>913</v>
      </c>
      <c r="L21" s="206" t="s">
        <v>934</v>
      </c>
      <c r="M21" s="206" t="s">
        <v>958</v>
      </c>
      <c r="N21" s="206" t="s">
        <v>981</v>
      </c>
    </row>
    <row r="22" spans="1:14" x14ac:dyDescent="0.2">
      <c r="A22" s="206" t="s">
        <v>538</v>
      </c>
      <c r="B22" s="207" t="str">
        <f>HLOOKUP('RMA form'!$D$2,C:N,A22,FALSE)</f>
        <v>jul-21</v>
      </c>
      <c r="C22" s="206" t="s">
        <v>805</v>
      </c>
      <c r="D22" s="224" t="s">
        <v>1081</v>
      </c>
      <c r="E22" s="206" t="s">
        <v>1006</v>
      </c>
      <c r="F22" s="206" t="s">
        <v>805</v>
      </c>
      <c r="G22" s="206" t="s">
        <v>805</v>
      </c>
      <c r="H22" s="206" t="s">
        <v>851</v>
      </c>
      <c r="I22" s="206" t="s">
        <v>875</v>
      </c>
      <c r="J22" s="206" t="s">
        <v>899</v>
      </c>
      <c r="K22" s="206" t="s">
        <v>914</v>
      </c>
      <c r="L22" s="206" t="s">
        <v>935</v>
      </c>
      <c r="M22" s="206" t="s">
        <v>959</v>
      </c>
      <c r="N22" s="206" t="s">
        <v>982</v>
      </c>
    </row>
    <row r="23" spans="1:14" x14ac:dyDescent="0.2">
      <c r="A23" s="206" t="s">
        <v>539</v>
      </c>
      <c r="B23" s="207" t="str">
        <f>HLOOKUP('RMA form'!$D$2,C:N,A23,FALSE)</f>
        <v>aug-21</v>
      </c>
      <c r="C23" s="206" t="s">
        <v>806</v>
      </c>
      <c r="D23" s="224" t="s">
        <v>1082</v>
      </c>
      <c r="E23" s="206" t="s">
        <v>1007</v>
      </c>
      <c r="F23" s="206" t="s">
        <v>817</v>
      </c>
      <c r="G23" s="206" t="s">
        <v>829</v>
      </c>
      <c r="H23" s="206" t="s">
        <v>852</v>
      </c>
      <c r="I23" s="206" t="s">
        <v>876</v>
      </c>
      <c r="J23" s="206" t="s">
        <v>900</v>
      </c>
      <c r="K23" s="206" t="s">
        <v>817</v>
      </c>
      <c r="L23" s="206" t="s">
        <v>936</v>
      </c>
      <c r="M23" s="206" t="s">
        <v>960</v>
      </c>
      <c r="N23" s="206" t="s">
        <v>983</v>
      </c>
    </row>
    <row r="24" spans="1:14" x14ac:dyDescent="0.2">
      <c r="A24" s="206" t="s">
        <v>540</v>
      </c>
      <c r="B24" s="207" t="str">
        <f>HLOOKUP('RMA form'!$D$2,C:N,A24,FALSE)</f>
        <v>sep-21</v>
      </c>
      <c r="C24" s="206" t="s">
        <v>807</v>
      </c>
      <c r="D24" s="224" t="s">
        <v>1083</v>
      </c>
      <c r="E24" s="206" t="s">
        <v>1008</v>
      </c>
      <c r="F24" s="206" t="s">
        <v>807</v>
      </c>
      <c r="G24" s="206" t="s">
        <v>830</v>
      </c>
      <c r="H24" s="206" t="s">
        <v>853</v>
      </c>
      <c r="I24" s="206" t="s">
        <v>877</v>
      </c>
      <c r="J24" s="206" t="s">
        <v>901</v>
      </c>
      <c r="K24" s="206" t="s">
        <v>915</v>
      </c>
      <c r="L24" s="206" t="s">
        <v>937</v>
      </c>
      <c r="M24" s="206" t="s">
        <v>961</v>
      </c>
      <c r="N24" s="206" t="s">
        <v>984</v>
      </c>
    </row>
    <row r="25" spans="1:14" x14ac:dyDescent="0.2">
      <c r="A25" s="206" t="s">
        <v>541</v>
      </c>
      <c r="B25" s="207" t="str">
        <f>HLOOKUP('RMA form'!$D$2,C:N,A25,FALSE)</f>
        <v>okt-21</v>
      </c>
      <c r="C25" s="206" t="s">
        <v>808</v>
      </c>
      <c r="D25" s="224" t="s">
        <v>1084</v>
      </c>
      <c r="E25" s="206" t="s">
        <v>1009</v>
      </c>
      <c r="F25" s="206" t="s">
        <v>808</v>
      </c>
      <c r="G25" s="206" t="s">
        <v>831</v>
      </c>
      <c r="H25" s="206" t="s">
        <v>854</v>
      </c>
      <c r="I25" s="206" t="s">
        <v>878</v>
      </c>
      <c r="J25" s="206" t="s">
        <v>902</v>
      </c>
      <c r="K25" s="206" t="s">
        <v>916</v>
      </c>
      <c r="L25" s="206" t="s">
        <v>938</v>
      </c>
      <c r="M25" s="206" t="s">
        <v>962</v>
      </c>
      <c r="N25" s="206" t="s">
        <v>985</v>
      </c>
    </row>
    <row r="26" spans="1:14" x14ac:dyDescent="0.2">
      <c r="A26" s="206" t="s">
        <v>542</v>
      </c>
      <c r="B26" s="207" t="str">
        <f>HLOOKUP('RMA form'!$D$2,C:N,A26,FALSE)</f>
        <v>nov-21</v>
      </c>
      <c r="C26" s="206" t="s">
        <v>809</v>
      </c>
      <c r="D26" s="224" t="s">
        <v>1085</v>
      </c>
      <c r="E26" s="206" t="s">
        <v>1010</v>
      </c>
      <c r="F26" s="206" t="s">
        <v>809</v>
      </c>
      <c r="G26" s="206" t="s">
        <v>809</v>
      </c>
      <c r="H26" s="206" t="s">
        <v>855</v>
      </c>
      <c r="I26" s="206" t="s">
        <v>879</v>
      </c>
      <c r="J26" s="206" t="s">
        <v>903</v>
      </c>
      <c r="K26" s="206" t="s">
        <v>809</v>
      </c>
      <c r="L26" s="206" t="s">
        <v>939</v>
      </c>
      <c r="M26" s="206" t="s">
        <v>963</v>
      </c>
      <c r="N26" s="206" t="s">
        <v>986</v>
      </c>
    </row>
    <row r="27" spans="1:14" x14ac:dyDescent="0.2">
      <c r="A27" s="206" t="s">
        <v>543</v>
      </c>
      <c r="B27" s="207" t="str">
        <f>HLOOKUP('RMA form'!$D$2,C:N,A27,FALSE)</f>
        <v>dec-21</v>
      </c>
      <c r="C27" s="206" t="s">
        <v>810</v>
      </c>
      <c r="D27" s="224" t="s">
        <v>1086</v>
      </c>
      <c r="E27" s="206" t="s">
        <v>1011</v>
      </c>
      <c r="F27" s="206" t="s">
        <v>818</v>
      </c>
      <c r="G27" s="206" t="s">
        <v>832</v>
      </c>
      <c r="H27" s="206" t="s">
        <v>856</v>
      </c>
      <c r="I27" s="206" t="s">
        <v>880</v>
      </c>
      <c r="J27" s="206" t="s">
        <v>904</v>
      </c>
      <c r="K27" s="206" t="s">
        <v>818</v>
      </c>
      <c r="L27" s="206" t="s">
        <v>940</v>
      </c>
      <c r="M27" s="206" t="s">
        <v>964</v>
      </c>
      <c r="N27" s="206" t="s">
        <v>987</v>
      </c>
    </row>
    <row r="28" spans="1:14" x14ac:dyDescent="0.2">
      <c r="A28" s="206" t="s">
        <v>544</v>
      </c>
      <c r="B28" s="207" t="str">
        <f>HLOOKUP('RMA form'!$D$2,C:N,A28,FALSE)</f>
        <v>jan-22</v>
      </c>
      <c r="C28" s="206" t="s">
        <v>1087</v>
      </c>
      <c r="D28" s="224" t="s">
        <v>1122</v>
      </c>
      <c r="E28" s="206" t="s">
        <v>1182</v>
      </c>
      <c r="F28" s="206" t="s">
        <v>1203</v>
      </c>
      <c r="G28" s="206" t="s">
        <v>1087</v>
      </c>
      <c r="H28" s="206" t="s">
        <v>1401</v>
      </c>
      <c r="I28" s="206" t="s">
        <v>1413</v>
      </c>
      <c r="J28" s="206" t="s">
        <v>1425</v>
      </c>
      <c r="K28" s="206" t="s">
        <v>1437</v>
      </c>
      <c r="L28" s="206" t="s">
        <v>1443</v>
      </c>
      <c r="M28" s="206" t="s">
        <v>1450</v>
      </c>
      <c r="N28" s="206" t="s">
        <v>1383</v>
      </c>
    </row>
    <row r="29" spans="1:14" x14ac:dyDescent="0.2">
      <c r="A29" s="206" t="s">
        <v>545</v>
      </c>
      <c r="B29" s="207" t="str">
        <f>HLOOKUP('RMA form'!$D$2,C:N,A29,FALSE)</f>
        <v>feb-22</v>
      </c>
      <c r="C29" s="206" t="s">
        <v>1088</v>
      </c>
      <c r="D29" s="224" t="s">
        <v>1123</v>
      </c>
      <c r="E29" s="206" t="s">
        <v>1183</v>
      </c>
      <c r="F29" s="206" t="s">
        <v>1088</v>
      </c>
      <c r="G29" s="206" t="s">
        <v>1206</v>
      </c>
      <c r="H29" s="206" t="s">
        <v>1402</v>
      </c>
      <c r="I29" s="206" t="s">
        <v>1414</v>
      </c>
      <c r="J29" s="206" t="s">
        <v>1426</v>
      </c>
      <c r="K29" s="206" t="s">
        <v>1088</v>
      </c>
      <c r="L29" s="206" t="s">
        <v>1444</v>
      </c>
      <c r="M29" s="206" t="s">
        <v>1451</v>
      </c>
      <c r="N29" s="206" t="s">
        <v>1384</v>
      </c>
    </row>
    <row r="30" spans="1:14" x14ac:dyDescent="0.2">
      <c r="A30" s="206" t="s">
        <v>546</v>
      </c>
      <c r="B30" s="207" t="str">
        <f>HLOOKUP('RMA form'!$D$2,C:N,A30,FALSE)</f>
        <v>mrt-22</v>
      </c>
      <c r="C30" s="206" t="s">
        <v>1089</v>
      </c>
      <c r="D30" s="224" t="s">
        <v>1124</v>
      </c>
      <c r="E30" s="206" t="s">
        <v>1184</v>
      </c>
      <c r="F30" s="206" t="s">
        <v>1089</v>
      </c>
      <c r="G30" s="206" t="s">
        <v>1089</v>
      </c>
      <c r="H30" s="206" t="s">
        <v>1403</v>
      </c>
      <c r="I30" s="206" t="s">
        <v>1415</v>
      </c>
      <c r="J30" s="206" t="s">
        <v>1427</v>
      </c>
      <c r="K30" s="206" t="s">
        <v>1089</v>
      </c>
      <c r="L30" s="206" t="s">
        <v>1395</v>
      </c>
      <c r="M30" s="206" t="s">
        <v>1452</v>
      </c>
      <c r="N30" s="206" t="s">
        <v>1385</v>
      </c>
    </row>
    <row r="31" spans="1:14" x14ac:dyDescent="0.2">
      <c r="A31" s="206" t="s">
        <v>547</v>
      </c>
      <c r="B31" s="207" t="str">
        <f>HLOOKUP('RMA form'!$D$2,C:N,A31,FALSE)</f>
        <v>apr-22</v>
      </c>
      <c r="C31" s="206" t="s">
        <v>1090</v>
      </c>
      <c r="D31" s="224" t="s">
        <v>1125</v>
      </c>
      <c r="E31" s="206" t="s">
        <v>1185</v>
      </c>
      <c r="F31" s="206" t="s">
        <v>1204</v>
      </c>
      <c r="G31" s="206" t="s">
        <v>1207</v>
      </c>
      <c r="H31" s="206" t="s">
        <v>1404</v>
      </c>
      <c r="I31" s="206" t="s">
        <v>1416</v>
      </c>
      <c r="J31" s="206" t="s">
        <v>1428</v>
      </c>
      <c r="K31" s="206" t="s">
        <v>1090</v>
      </c>
      <c r="L31" s="206" t="s">
        <v>1445</v>
      </c>
      <c r="M31" s="206" t="s">
        <v>1453</v>
      </c>
      <c r="N31" s="206" t="s">
        <v>1386</v>
      </c>
    </row>
    <row r="32" spans="1:14" x14ac:dyDescent="0.2">
      <c r="A32" s="206" t="s">
        <v>548</v>
      </c>
      <c r="B32" s="207" t="str">
        <f>HLOOKUP('RMA form'!$D$2,C:N,A32,FALSE)</f>
        <v>mei-22</v>
      </c>
      <c r="C32" s="206" t="s">
        <v>1091</v>
      </c>
      <c r="D32" s="224" t="s">
        <v>1126</v>
      </c>
      <c r="E32" s="206" t="s">
        <v>1186</v>
      </c>
      <c r="F32" s="206" t="s">
        <v>1091</v>
      </c>
      <c r="G32" s="206" t="s">
        <v>1208</v>
      </c>
      <c r="H32" s="206" t="s">
        <v>1405</v>
      </c>
      <c r="I32" s="206" t="s">
        <v>1417</v>
      </c>
      <c r="J32" s="206" t="s">
        <v>1429</v>
      </c>
      <c r="K32" s="206" t="s">
        <v>1438</v>
      </c>
      <c r="L32" s="206" t="s">
        <v>1396</v>
      </c>
      <c r="M32" s="206" t="s">
        <v>1454</v>
      </c>
      <c r="N32" s="206" t="s">
        <v>1387</v>
      </c>
    </row>
    <row r="33" spans="1:14" x14ac:dyDescent="0.2">
      <c r="A33" s="206" t="s">
        <v>549</v>
      </c>
      <c r="B33" s="207" t="str">
        <f>HLOOKUP('RMA form'!$D$2,C:N,A33,FALSE)</f>
        <v>jun-22</v>
      </c>
      <c r="C33" s="206" t="s">
        <v>1092</v>
      </c>
      <c r="D33" s="224" t="s">
        <v>1127</v>
      </c>
      <c r="E33" s="206" t="s">
        <v>1187</v>
      </c>
      <c r="F33" s="206" t="s">
        <v>1092</v>
      </c>
      <c r="G33" s="206" t="s">
        <v>1092</v>
      </c>
      <c r="H33" s="206" t="s">
        <v>1406</v>
      </c>
      <c r="I33" s="206" t="s">
        <v>1418</v>
      </c>
      <c r="J33" s="206" t="s">
        <v>1430</v>
      </c>
      <c r="K33" s="206" t="s">
        <v>1439</v>
      </c>
      <c r="L33" s="206" t="s">
        <v>1397</v>
      </c>
      <c r="M33" s="206" t="s">
        <v>1455</v>
      </c>
      <c r="N33" s="206" t="s">
        <v>1388</v>
      </c>
    </row>
    <row r="34" spans="1:14" x14ac:dyDescent="0.2">
      <c r="A34" s="206" t="s">
        <v>550</v>
      </c>
      <c r="B34" s="207" t="str">
        <f>HLOOKUP('RMA form'!$D$2,C:N,A34,FALSE)</f>
        <v>jul-22</v>
      </c>
      <c r="C34" s="206" t="s">
        <v>1093</v>
      </c>
      <c r="D34" s="224" t="s">
        <v>1128</v>
      </c>
      <c r="E34" s="206" t="s">
        <v>1188</v>
      </c>
      <c r="F34" s="206" t="s">
        <v>1093</v>
      </c>
      <c r="G34" s="206" t="s">
        <v>1093</v>
      </c>
      <c r="H34" s="206" t="s">
        <v>1407</v>
      </c>
      <c r="I34" s="206" t="s">
        <v>1419</v>
      </c>
      <c r="J34" s="206" t="s">
        <v>1431</v>
      </c>
      <c r="K34" s="206" t="s">
        <v>1440</v>
      </c>
      <c r="L34" s="206" t="s">
        <v>1398</v>
      </c>
      <c r="M34" s="206" t="s">
        <v>1456</v>
      </c>
      <c r="N34" s="206" t="s">
        <v>1389</v>
      </c>
    </row>
    <row r="35" spans="1:14" x14ac:dyDescent="0.2">
      <c r="A35" s="206" t="s">
        <v>551</v>
      </c>
      <c r="B35" s="207" t="str">
        <f>HLOOKUP('RMA form'!$D$2,C:N,A35,FALSE)</f>
        <v>aug-22</v>
      </c>
      <c r="C35" s="206" t="s">
        <v>1094</v>
      </c>
      <c r="D35" s="224" t="s">
        <v>1129</v>
      </c>
      <c r="E35" s="206" t="s">
        <v>1189</v>
      </c>
      <c r="F35" s="206" t="s">
        <v>1205</v>
      </c>
      <c r="G35" s="206" t="s">
        <v>1209</v>
      </c>
      <c r="H35" s="206" t="s">
        <v>1408</v>
      </c>
      <c r="I35" s="206" t="s">
        <v>1420</v>
      </c>
      <c r="J35" s="206" t="s">
        <v>1432</v>
      </c>
      <c r="K35" s="206" t="s">
        <v>1205</v>
      </c>
      <c r="L35" s="206" t="s">
        <v>1446</v>
      </c>
      <c r="M35" s="206" t="s">
        <v>1457</v>
      </c>
      <c r="N35" s="206" t="s">
        <v>1390</v>
      </c>
    </row>
    <row r="36" spans="1:14" x14ac:dyDescent="0.2">
      <c r="A36" s="206" t="s">
        <v>552</v>
      </c>
      <c r="B36" s="207" t="str">
        <f>HLOOKUP('RMA form'!$D$2,C:N,A36,FALSE)</f>
        <v>sep-22</v>
      </c>
      <c r="C36" s="206" t="s">
        <v>1095</v>
      </c>
      <c r="D36" s="224" t="s">
        <v>1130</v>
      </c>
      <c r="E36" s="206" t="s">
        <v>1190</v>
      </c>
      <c r="F36" s="206" t="s">
        <v>1095</v>
      </c>
      <c r="G36" s="206" t="s">
        <v>1210</v>
      </c>
      <c r="H36" s="206" t="s">
        <v>1409</v>
      </c>
      <c r="I36" s="206" t="s">
        <v>1421</v>
      </c>
      <c r="J36" s="206" t="s">
        <v>1433</v>
      </c>
      <c r="K36" s="206" t="s">
        <v>1441</v>
      </c>
      <c r="L36" s="206" t="s">
        <v>1447</v>
      </c>
      <c r="M36" s="206" t="s">
        <v>1458</v>
      </c>
      <c r="N36" s="206" t="s">
        <v>1391</v>
      </c>
    </row>
    <row r="37" spans="1:14" x14ac:dyDescent="0.2">
      <c r="A37" s="206" t="s">
        <v>553</v>
      </c>
      <c r="B37" s="207" t="str">
        <f>HLOOKUP('RMA form'!$D$2,C:N,A37,FALSE)</f>
        <v>okt-22</v>
      </c>
      <c r="C37" s="206" t="s">
        <v>1096</v>
      </c>
      <c r="D37" s="224" t="s">
        <v>1131</v>
      </c>
      <c r="E37" s="206" t="s">
        <v>1191</v>
      </c>
      <c r="F37" s="206" t="s">
        <v>1096</v>
      </c>
      <c r="G37" s="206" t="s">
        <v>1211</v>
      </c>
      <c r="H37" s="206" t="s">
        <v>1410</v>
      </c>
      <c r="I37" s="206" t="s">
        <v>1422</v>
      </c>
      <c r="J37" s="206" t="s">
        <v>1434</v>
      </c>
      <c r="K37" s="206" t="s">
        <v>1442</v>
      </c>
      <c r="L37" s="206" t="s">
        <v>1399</v>
      </c>
      <c r="M37" s="206" t="s">
        <v>1459</v>
      </c>
      <c r="N37" s="206" t="s">
        <v>1392</v>
      </c>
    </row>
    <row r="38" spans="1:14" x14ac:dyDescent="0.2">
      <c r="A38" s="206" t="s">
        <v>554</v>
      </c>
      <c r="B38" s="207" t="str">
        <f>HLOOKUP('RMA form'!$D$2,C:N,A38,FALSE)</f>
        <v>nov-22</v>
      </c>
      <c r="C38" s="206" t="s">
        <v>1097</v>
      </c>
      <c r="D38" s="224" t="s">
        <v>1132</v>
      </c>
      <c r="E38" s="206" t="s">
        <v>1192</v>
      </c>
      <c r="F38" s="206" t="s">
        <v>1097</v>
      </c>
      <c r="G38" s="206" t="s">
        <v>1097</v>
      </c>
      <c r="H38" s="206" t="s">
        <v>1411</v>
      </c>
      <c r="I38" s="206" t="s">
        <v>1423</v>
      </c>
      <c r="J38" s="206" t="s">
        <v>1435</v>
      </c>
      <c r="K38" s="206" t="s">
        <v>1097</v>
      </c>
      <c r="L38" s="206" t="s">
        <v>1448</v>
      </c>
      <c r="M38" s="206" t="s">
        <v>1460</v>
      </c>
      <c r="N38" s="206" t="s">
        <v>1393</v>
      </c>
    </row>
    <row r="39" spans="1:14" x14ac:dyDescent="0.2">
      <c r="A39" s="206" t="s">
        <v>555</v>
      </c>
      <c r="B39" s="207" t="str">
        <f>HLOOKUP('RMA form'!$D$2,C:N,A39,FALSE)</f>
        <v>dec-22</v>
      </c>
      <c r="C39" s="206" t="s">
        <v>798</v>
      </c>
      <c r="D39" s="224" t="s">
        <v>1133</v>
      </c>
      <c r="E39" s="206" t="s">
        <v>1193</v>
      </c>
      <c r="F39" s="206" t="s">
        <v>1202</v>
      </c>
      <c r="G39" s="206" t="s">
        <v>1212</v>
      </c>
      <c r="H39" s="206" t="s">
        <v>1412</v>
      </c>
      <c r="I39" s="206" t="s">
        <v>1424</v>
      </c>
      <c r="J39" s="206" t="s">
        <v>1436</v>
      </c>
      <c r="K39" s="206" t="s">
        <v>1202</v>
      </c>
      <c r="L39" s="206" t="s">
        <v>1400</v>
      </c>
      <c r="M39" s="206" t="s">
        <v>1449</v>
      </c>
      <c r="N39" s="206" t="s">
        <v>1394</v>
      </c>
    </row>
    <row r="40" spans="1:14" x14ac:dyDescent="0.2">
      <c r="A40" s="206" t="s">
        <v>556</v>
      </c>
      <c r="B40" s="207" t="str">
        <f>HLOOKUP('RMA form'!$D$2,C:N,A40,FALSE)</f>
        <v>jan-23</v>
      </c>
      <c r="C40" s="206" t="s">
        <v>1098</v>
      </c>
      <c r="D40" s="224" t="s">
        <v>1134</v>
      </c>
      <c r="E40" s="206" t="s">
        <v>1170</v>
      </c>
      <c r="F40" s="206" t="s">
        <v>1199</v>
      </c>
      <c r="G40" s="206" t="s">
        <v>1098</v>
      </c>
      <c r="H40" s="206" t="s">
        <v>1305</v>
      </c>
      <c r="I40" s="206" t="s">
        <v>1316</v>
      </c>
      <c r="J40" s="206" t="s">
        <v>1338</v>
      </c>
      <c r="K40" s="206" t="s">
        <v>1332</v>
      </c>
      <c r="L40" s="206" t="s">
        <v>1346</v>
      </c>
      <c r="M40" s="206" t="s">
        <v>1358</v>
      </c>
      <c r="N40" s="206" t="s">
        <v>1381</v>
      </c>
    </row>
    <row r="41" spans="1:14" x14ac:dyDescent="0.2">
      <c r="A41" s="206" t="s">
        <v>557</v>
      </c>
      <c r="B41" s="207" t="str">
        <f>HLOOKUP('RMA form'!$D$2,C:N,A41,FALSE)</f>
        <v>feb-23</v>
      </c>
      <c r="C41" s="206" t="s">
        <v>1099</v>
      </c>
      <c r="D41" s="224" t="s">
        <v>1135</v>
      </c>
      <c r="E41" s="206" t="s">
        <v>1171</v>
      </c>
      <c r="F41" s="206" t="s">
        <v>1099</v>
      </c>
      <c r="G41" s="206" t="s">
        <v>1213</v>
      </c>
      <c r="H41" s="206" t="s">
        <v>1306</v>
      </c>
      <c r="I41" s="206" t="s">
        <v>1317</v>
      </c>
      <c r="J41" s="206" t="s">
        <v>1339</v>
      </c>
      <c r="K41" s="206" t="s">
        <v>1099</v>
      </c>
      <c r="L41" s="206" t="s">
        <v>1347</v>
      </c>
      <c r="M41" s="206" t="s">
        <v>1359</v>
      </c>
      <c r="N41" s="206" t="s">
        <v>1370</v>
      </c>
    </row>
    <row r="42" spans="1:14" x14ac:dyDescent="0.2">
      <c r="A42" s="206" t="s">
        <v>558</v>
      </c>
      <c r="B42" s="207" t="str">
        <f>HLOOKUP('RMA form'!$D$2,C:N,A42,FALSE)</f>
        <v>mrt-23</v>
      </c>
      <c r="C42" s="206" t="s">
        <v>1100</v>
      </c>
      <c r="D42" s="224" t="s">
        <v>1136</v>
      </c>
      <c r="E42" s="206" t="s">
        <v>1172</v>
      </c>
      <c r="F42" s="206" t="s">
        <v>1100</v>
      </c>
      <c r="G42" s="206" t="s">
        <v>1100</v>
      </c>
      <c r="H42" s="206" t="s">
        <v>1307</v>
      </c>
      <c r="I42" s="206" t="s">
        <v>1318</v>
      </c>
      <c r="J42" s="206" t="s">
        <v>1328</v>
      </c>
      <c r="K42" s="206" t="s">
        <v>1100</v>
      </c>
      <c r="L42" s="206" t="s">
        <v>1348</v>
      </c>
      <c r="M42" s="206" t="s">
        <v>1360</v>
      </c>
      <c r="N42" s="206" t="s">
        <v>1371</v>
      </c>
    </row>
    <row r="43" spans="1:14" x14ac:dyDescent="0.2">
      <c r="A43" s="206" t="s">
        <v>559</v>
      </c>
      <c r="B43" s="207" t="str">
        <f>HLOOKUP('RMA form'!$D$2,C:N,A43,FALSE)</f>
        <v>apr-23</v>
      </c>
      <c r="C43" s="206" t="s">
        <v>1101</v>
      </c>
      <c r="D43" s="224" t="s">
        <v>1137</v>
      </c>
      <c r="E43" s="206" t="s">
        <v>1173</v>
      </c>
      <c r="F43" s="206" t="s">
        <v>1200</v>
      </c>
      <c r="G43" s="206" t="s">
        <v>1214</v>
      </c>
      <c r="H43" s="206" t="s">
        <v>1308</v>
      </c>
      <c r="I43" s="206" t="s">
        <v>1319</v>
      </c>
      <c r="J43" s="206" t="s">
        <v>1340</v>
      </c>
      <c r="K43" s="206" t="s">
        <v>1101</v>
      </c>
      <c r="L43" s="206" t="s">
        <v>1349</v>
      </c>
      <c r="M43" s="206" t="s">
        <v>1361</v>
      </c>
      <c r="N43" s="206" t="s">
        <v>1372</v>
      </c>
    </row>
    <row r="44" spans="1:14" x14ac:dyDescent="0.2">
      <c r="A44" s="206" t="s">
        <v>560</v>
      </c>
      <c r="B44" s="207" t="str">
        <f>HLOOKUP('RMA form'!$D$2,C:N,A44,FALSE)</f>
        <v>mei-23</v>
      </c>
      <c r="C44" s="206" t="s">
        <v>1102</v>
      </c>
      <c r="D44" s="224" t="s">
        <v>1138</v>
      </c>
      <c r="E44" s="206" t="s">
        <v>1174</v>
      </c>
      <c r="F44" s="206" t="s">
        <v>1102</v>
      </c>
      <c r="G44" s="206" t="s">
        <v>1215</v>
      </c>
      <c r="H44" s="206" t="s">
        <v>1309</v>
      </c>
      <c r="I44" s="206" t="s">
        <v>1320</v>
      </c>
      <c r="J44" s="206" t="s">
        <v>1329</v>
      </c>
      <c r="K44" s="206" t="s">
        <v>1333</v>
      </c>
      <c r="L44" s="206" t="s">
        <v>1350</v>
      </c>
      <c r="M44" s="206" t="s">
        <v>1362</v>
      </c>
      <c r="N44" s="206" t="s">
        <v>1373</v>
      </c>
    </row>
    <row r="45" spans="1:14" x14ac:dyDescent="0.2">
      <c r="A45" s="206" t="s">
        <v>561</v>
      </c>
      <c r="B45" s="207" t="str">
        <f>HLOOKUP('RMA form'!$D$2,C:N,A45,FALSE)</f>
        <v>jun-23</v>
      </c>
      <c r="C45" s="206" t="s">
        <v>1103</v>
      </c>
      <c r="D45" s="224" t="s">
        <v>1139</v>
      </c>
      <c r="E45" s="206" t="s">
        <v>1175</v>
      </c>
      <c r="F45" s="206" t="s">
        <v>1103</v>
      </c>
      <c r="G45" s="206" t="s">
        <v>1103</v>
      </c>
      <c r="H45" s="206" t="s">
        <v>1310</v>
      </c>
      <c r="I45" s="206" t="s">
        <v>1321</v>
      </c>
      <c r="J45" s="206" t="s">
        <v>1341</v>
      </c>
      <c r="K45" s="206" t="s">
        <v>1334</v>
      </c>
      <c r="L45" s="206" t="s">
        <v>1351</v>
      </c>
      <c r="M45" s="206" t="s">
        <v>1363</v>
      </c>
      <c r="N45" s="206" t="s">
        <v>1374</v>
      </c>
    </row>
    <row r="46" spans="1:14" x14ac:dyDescent="0.2">
      <c r="A46" s="206" t="s">
        <v>562</v>
      </c>
      <c r="B46" s="207" t="str">
        <f>HLOOKUP('RMA form'!$D$2,C:N,A46,FALSE)</f>
        <v>jul-23</v>
      </c>
      <c r="C46" s="206" t="s">
        <v>1104</v>
      </c>
      <c r="D46" s="224" t="s">
        <v>1140</v>
      </c>
      <c r="E46" s="206" t="s">
        <v>1176</v>
      </c>
      <c r="F46" s="206" t="s">
        <v>1104</v>
      </c>
      <c r="G46" s="206" t="s">
        <v>1104</v>
      </c>
      <c r="H46" s="206" t="s">
        <v>1311</v>
      </c>
      <c r="I46" s="206" t="s">
        <v>1322</v>
      </c>
      <c r="J46" s="206" t="s">
        <v>1342</v>
      </c>
      <c r="K46" s="206" t="s">
        <v>1335</v>
      </c>
      <c r="L46" s="206" t="s">
        <v>1352</v>
      </c>
      <c r="M46" s="206" t="s">
        <v>1364</v>
      </c>
      <c r="N46" s="206" t="s">
        <v>1375</v>
      </c>
    </row>
    <row r="47" spans="1:14" x14ac:dyDescent="0.2">
      <c r="A47" s="206" t="s">
        <v>563</v>
      </c>
      <c r="B47" s="207" t="str">
        <f>HLOOKUP('RMA form'!$D$2,C:N,A47,FALSE)</f>
        <v>aug-23</v>
      </c>
      <c r="C47" s="206" t="s">
        <v>1105</v>
      </c>
      <c r="D47" s="224" t="s">
        <v>1141</v>
      </c>
      <c r="E47" s="206" t="s">
        <v>1177</v>
      </c>
      <c r="F47" s="206" t="s">
        <v>1201</v>
      </c>
      <c r="G47" s="206" t="s">
        <v>1216</v>
      </c>
      <c r="H47" s="206" t="s">
        <v>1312</v>
      </c>
      <c r="I47" s="206" t="s">
        <v>1323</v>
      </c>
      <c r="J47" s="206" t="s">
        <v>1343</v>
      </c>
      <c r="K47" s="206" t="s">
        <v>1201</v>
      </c>
      <c r="L47" s="206" t="s">
        <v>1353</v>
      </c>
      <c r="M47" s="206" t="s">
        <v>1365</v>
      </c>
      <c r="N47" s="206" t="s">
        <v>1376</v>
      </c>
    </row>
    <row r="48" spans="1:14" x14ac:dyDescent="0.2">
      <c r="A48" s="206" t="s">
        <v>564</v>
      </c>
      <c r="B48" s="207" t="str">
        <f>HLOOKUP('RMA form'!$D$2,C:N,A48,FALSE)</f>
        <v>sep-23</v>
      </c>
      <c r="C48" s="206" t="s">
        <v>1106</v>
      </c>
      <c r="D48" s="224" t="s">
        <v>1142</v>
      </c>
      <c r="E48" s="206" t="s">
        <v>1178</v>
      </c>
      <c r="F48" s="206" t="s">
        <v>1106</v>
      </c>
      <c r="G48" s="206" t="s">
        <v>1217</v>
      </c>
      <c r="H48" s="206" t="s">
        <v>1313</v>
      </c>
      <c r="I48" s="206" t="s">
        <v>1324</v>
      </c>
      <c r="J48" s="206" t="s">
        <v>1344</v>
      </c>
      <c r="K48" s="206" t="s">
        <v>1336</v>
      </c>
      <c r="L48" s="206" t="s">
        <v>1354</v>
      </c>
      <c r="M48" s="206" t="s">
        <v>1366</v>
      </c>
      <c r="N48" s="206" t="s">
        <v>1377</v>
      </c>
    </row>
    <row r="49" spans="1:14" x14ac:dyDescent="0.2">
      <c r="A49" s="206" t="s">
        <v>565</v>
      </c>
      <c r="B49" s="207" t="str">
        <f>HLOOKUP('RMA form'!$D$2,C:N,A49,FALSE)</f>
        <v>okt-23</v>
      </c>
      <c r="C49" s="206" t="s">
        <v>1107</v>
      </c>
      <c r="D49" s="224" t="s">
        <v>1143</v>
      </c>
      <c r="E49" s="206" t="s">
        <v>1179</v>
      </c>
      <c r="F49" s="206" t="s">
        <v>1107</v>
      </c>
      <c r="G49" s="206" t="s">
        <v>1218</v>
      </c>
      <c r="H49" s="206" t="s">
        <v>1314</v>
      </c>
      <c r="I49" s="206" t="s">
        <v>1325</v>
      </c>
      <c r="J49" s="206" t="s">
        <v>1330</v>
      </c>
      <c r="K49" s="206" t="s">
        <v>1337</v>
      </c>
      <c r="L49" s="206" t="s">
        <v>1355</v>
      </c>
      <c r="M49" s="206" t="s">
        <v>1367</v>
      </c>
      <c r="N49" s="206" t="s">
        <v>1378</v>
      </c>
    </row>
    <row r="50" spans="1:14" x14ac:dyDescent="0.2">
      <c r="A50" s="206" t="s">
        <v>566</v>
      </c>
      <c r="B50" s="207" t="str">
        <f>HLOOKUP('RMA form'!$D$2,C:N,A50,FALSE)</f>
        <v>nov-23</v>
      </c>
      <c r="C50" s="206" t="s">
        <v>1108</v>
      </c>
      <c r="D50" s="224" t="s">
        <v>1144</v>
      </c>
      <c r="E50" s="206" t="s">
        <v>1180</v>
      </c>
      <c r="F50" s="206" t="s">
        <v>1108</v>
      </c>
      <c r="G50" s="206" t="s">
        <v>1108</v>
      </c>
      <c r="H50" s="206" t="s">
        <v>1315</v>
      </c>
      <c r="I50" s="206" t="s">
        <v>1326</v>
      </c>
      <c r="J50" s="206" t="s">
        <v>1345</v>
      </c>
      <c r="K50" s="206" t="s">
        <v>1108</v>
      </c>
      <c r="L50" s="206" t="s">
        <v>1356</v>
      </c>
      <c r="M50" s="206" t="s">
        <v>1368</v>
      </c>
      <c r="N50" s="206" t="s">
        <v>1379</v>
      </c>
    </row>
    <row r="51" spans="1:14" x14ac:dyDescent="0.2">
      <c r="A51" s="206" t="s">
        <v>567</v>
      </c>
      <c r="B51" s="207" t="str">
        <f>HLOOKUP('RMA form'!$D$2,C:N,A51,FALSE)</f>
        <v>dec-23</v>
      </c>
      <c r="C51" s="206" t="s">
        <v>1109</v>
      </c>
      <c r="D51" s="224" t="s">
        <v>1145</v>
      </c>
      <c r="E51" s="206" t="s">
        <v>1181</v>
      </c>
      <c r="F51" s="206" t="s">
        <v>1198</v>
      </c>
      <c r="G51" s="206" t="s">
        <v>1219</v>
      </c>
      <c r="H51" s="206" t="s">
        <v>1304</v>
      </c>
      <c r="I51" s="206" t="s">
        <v>1327</v>
      </c>
      <c r="J51" s="206" t="s">
        <v>1331</v>
      </c>
      <c r="K51" s="206" t="s">
        <v>1198</v>
      </c>
      <c r="L51" s="206" t="s">
        <v>1357</v>
      </c>
      <c r="M51" s="206" t="s">
        <v>1369</v>
      </c>
      <c r="N51" s="206" t="s">
        <v>1380</v>
      </c>
    </row>
    <row r="52" spans="1:14" x14ac:dyDescent="0.2">
      <c r="A52" s="206" t="s">
        <v>568</v>
      </c>
      <c r="B52" s="207" t="str">
        <f>HLOOKUP('RMA form'!$D$2,C:N,A52,FALSE)</f>
        <v>jan-24</v>
      </c>
      <c r="C52" s="206" t="s">
        <v>1110</v>
      </c>
      <c r="D52" s="224" t="s">
        <v>1146</v>
      </c>
      <c r="E52" s="206" t="s">
        <v>1163</v>
      </c>
      <c r="F52" s="206" t="s">
        <v>1194</v>
      </c>
      <c r="G52" s="206" t="s">
        <v>1110</v>
      </c>
      <c r="H52" s="206" t="s">
        <v>1228</v>
      </c>
      <c r="I52" s="206" t="s">
        <v>1239</v>
      </c>
      <c r="J52" s="206" t="s">
        <v>1251</v>
      </c>
      <c r="K52" s="206" t="s">
        <v>1263</v>
      </c>
      <c r="L52" s="206" t="s">
        <v>1269</v>
      </c>
      <c r="M52" s="206" t="s">
        <v>1281</v>
      </c>
      <c r="N52" s="206" t="s">
        <v>1293</v>
      </c>
    </row>
    <row r="53" spans="1:14" x14ac:dyDescent="0.2">
      <c r="A53" s="206" t="s">
        <v>569</v>
      </c>
      <c r="B53" s="207" t="str">
        <f>HLOOKUP('RMA form'!$D$2,C:N,A53,FALSE)</f>
        <v>feb-24</v>
      </c>
      <c r="C53" s="206" t="s">
        <v>1111</v>
      </c>
      <c r="D53" s="224" t="s">
        <v>1147</v>
      </c>
      <c r="E53" s="206" t="s">
        <v>1164</v>
      </c>
      <c r="F53" s="206" t="s">
        <v>1111</v>
      </c>
      <c r="G53" s="206" t="s">
        <v>1220</v>
      </c>
      <c r="H53" s="206" t="s">
        <v>1229</v>
      </c>
      <c r="I53" s="206" t="s">
        <v>1240</v>
      </c>
      <c r="J53" s="206" t="s">
        <v>1252</v>
      </c>
      <c r="K53" s="206" t="s">
        <v>1111</v>
      </c>
      <c r="L53" s="206" t="s">
        <v>1270</v>
      </c>
      <c r="M53" s="206" t="s">
        <v>1282</v>
      </c>
      <c r="N53" s="206" t="s">
        <v>1294</v>
      </c>
    </row>
    <row r="54" spans="1:14" x14ac:dyDescent="0.2">
      <c r="A54" s="206" t="s">
        <v>570</v>
      </c>
      <c r="B54" s="207" t="str">
        <f>HLOOKUP('RMA form'!$D$2,C:N,A54,FALSE)</f>
        <v>mrt-24</v>
      </c>
      <c r="C54" s="206" t="s">
        <v>1112</v>
      </c>
      <c r="D54" s="224" t="s">
        <v>1148</v>
      </c>
      <c r="E54" s="206" t="s">
        <v>1158</v>
      </c>
      <c r="F54" s="206" t="s">
        <v>1112</v>
      </c>
      <c r="G54" s="206" t="s">
        <v>1112</v>
      </c>
      <c r="H54" s="206" t="s">
        <v>1230</v>
      </c>
      <c r="I54" s="206" t="s">
        <v>1241</v>
      </c>
      <c r="J54" s="206" t="s">
        <v>1253</v>
      </c>
      <c r="K54" s="206" t="s">
        <v>1112</v>
      </c>
      <c r="L54" s="206" t="s">
        <v>1271</v>
      </c>
      <c r="M54" s="206" t="s">
        <v>1283</v>
      </c>
      <c r="N54" s="206" t="s">
        <v>1382</v>
      </c>
    </row>
    <row r="55" spans="1:14" x14ac:dyDescent="0.2">
      <c r="A55" s="206" t="s">
        <v>571</v>
      </c>
      <c r="B55" s="207" t="str">
        <f>HLOOKUP('RMA form'!$D$2,C:N,A55,FALSE)</f>
        <v>apr-24</v>
      </c>
      <c r="C55" s="206" t="s">
        <v>1113</v>
      </c>
      <c r="D55" s="224" t="s">
        <v>1149</v>
      </c>
      <c r="E55" s="206" t="s">
        <v>1165</v>
      </c>
      <c r="F55" s="206" t="s">
        <v>1195</v>
      </c>
      <c r="G55" s="206" t="s">
        <v>1221</v>
      </c>
      <c r="H55" s="206" t="s">
        <v>1231</v>
      </c>
      <c r="I55" s="206" t="s">
        <v>1242</v>
      </c>
      <c r="J55" s="206" t="s">
        <v>1254</v>
      </c>
      <c r="K55" s="206" t="s">
        <v>1113</v>
      </c>
      <c r="L55" s="206" t="s">
        <v>1272</v>
      </c>
      <c r="M55" s="206" t="s">
        <v>1284</v>
      </c>
      <c r="N55" s="206" t="s">
        <v>1295</v>
      </c>
    </row>
    <row r="56" spans="1:14" x14ac:dyDescent="0.2">
      <c r="A56" s="206" t="s">
        <v>572</v>
      </c>
      <c r="B56" s="207" t="str">
        <f>HLOOKUP('RMA form'!$D$2,C:N,A56,FALSE)</f>
        <v>mei-24</v>
      </c>
      <c r="C56" s="206" t="s">
        <v>1114</v>
      </c>
      <c r="D56" s="224" t="s">
        <v>1150</v>
      </c>
      <c r="E56" s="206" t="s">
        <v>1159</v>
      </c>
      <c r="F56" s="206" t="s">
        <v>1114</v>
      </c>
      <c r="G56" s="206" t="s">
        <v>1222</v>
      </c>
      <c r="H56" s="206" t="s">
        <v>1232</v>
      </c>
      <c r="I56" s="206" t="s">
        <v>1243</v>
      </c>
      <c r="J56" s="206" t="s">
        <v>1255</v>
      </c>
      <c r="K56" s="206" t="s">
        <v>1264</v>
      </c>
      <c r="L56" s="206" t="s">
        <v>1273</v>
      </c>
      <c r="M56" s="206" t="s">
        <v>1285</v>
      </c>
      <c r="N56" s="206" t="s">
        <v>1296</v>
      </c>
    </row>
    <row r="57" spans="1:14" ht="15" customHeight="1" x14ac:dyDescent="0.2">
      <c r="A57" s="206" t="s">
        <v>573</v>
      </c>
      <c r="B57" s="207" t="str">
        <f>HLOOKUP('RMA form'!$D$2,C:N,A57,FALSE)</f>
        <v>jun-24</v>
      </c>
      <c r="C57" s="206" t="s">
        <v>1115</v>
      </c>
      <c r="D57" s="224" t="s">
        <v>1151</v>
      </c>
      <c r="E57" s="206" t="s">
        <v>1166</v>
      </c>
      <c r="F57" s="206" t="s">
        <v>1115</v>
      </c>
      <c r="G57" s="206" t="s">
        <v>1115</v>
      </c>
      <c r="H57" s="206" t="s">
        <v>1233</v>
      </c>
      <c r="I57" s="206" t="s">
        <v>1244</v>
      </c>
      <c r="J57" s="206" t="s">
        <v>1256</v>
      </c>
      <c r="K57" s="206" t="s">
        <v>1265</v>
      </c>
      <c r="L57" s="206" t="s">
        <v>1274</v>
      </c>
      <c r="M57" s="206" t="s">
        <v>1286</v>
      </c>
      <c r="N57" s="206" t="s">
        <v>1297</v>
      </c>
    </row>
    <row r="58" spans="1:14" x14ac:dyDescent="0.2">
      <c r="A58" s="206" t="s">
        <v>574</v>
      </c>
      <c r="B58" s="207" t="str">
        <f>HLOOKUP('RMA form'!$D$2,C:N,A58,FALSE)</f>
        <v>jul-24</v>
      </c>
      <c r="C58" s="206" t="s">
        <v>1116</v>
      </c>
      <c r="D58" s="224" t="s">
        <v>1152</v>
      </c>
      <c r="E58" s="206" t="s">
        <v>1167</v>
      </c>
      <c r="F58" s="206" t="s">
        <v>1116</v>
      </c>
      <c r="G58" s="206" t="s">
        <v>1116</v>
      </c>
      <c r="H58" s="206" t="s">
        <v>1234</v>
      </c>
      <c r="I58" s="206" t="s">
        <v>1245</v>
      </c>
      <c r="J58" s="206" t="s">
        <v>1257</v>
      </c>
      <c r="K58" s="206" t="s">
        <v>1266</v>
      </c>
      <c r="L58" s="206" t="s">
        <v>1275</v>
      </c>
      <c r="M58" s="206" t="s">
        <v>1287</v>
      </c>
      <c r="N58" s="206" t="s">
        <v>1298</v>
      </c>
    </row>
    <row r="59" spans="1:14" x14ac:dyDescent="0.2">
      <c r="A59" s="206" t="s">
        <v>575</v>
      </c>
      <c r="B59" s="207" t="str">
        <f>HLOOKUP('RMA form'!$D$2,C:N,A59,FALSE)</f>
        <v>aug-24</v>
      </c>
      <c r="C59" s="206" t="s">
        <v>1117</v>
      </c>
      <c r="D59" s="224" t="s">
        <v>1153</v>
      </c>
      <c r="E59" s="206" t="s">
        <v>1168</v>
      </c>
      <c r="F59" s="206" t="s">
        <v>1196</v>
      </c>
      <c r="G59" s="206" t="s">
        <v>1223</v>
      </c>
      <c r="H59" s="206" t="s">
        <v>1235</v>
      </c>
      <c r="I59" s="206" t="s">
        <v>1246</v>
      </c>
      <c r="J59" s="206" t="s">
        <v>1258</v>
      </c>
      <c r="K59" s="206" t="s">
        <v>1196</v>
      </c>
      <c r="L59" s="206" t="s">
        <v>1276</v>
      </c>
      <c r="M59" s="206" t="s">
        <v>1288</v>
      </c>
      <c r="N59" s="206" t="s">
        <v>1299</v>
      </c>
    </row>
    <row r="60" spans="1:14" x14ac:dyDescent="0.2">
      <c r="A60" s="206" t="s">
        <v>576</v>
      </c>
      <c r="B60" s="207" t="str">
        <f>HLOOKUP('RMA form'!$D$2,C:N,A60,FALSE)</f>
        <v>sep-24</v>
      </c>
      <c r="C60" s="206" t="s">
        <v>1118</v>
      </c>
      <c r="D60" s="224" t="s">
        <v>1154</v>
      </c>
      <c r="E60" s="206" t="s">
        <v>1169</v>
      </c>
      <c r="F60" s="206" t="s">
        <v>1118</v>
      </c>
      <c r="G60" s="206" t="s">
        <v>1224</v>
      </c>
      <c r="H60" s="206" t="s">
        <v>1236</v>
      </c>
      <c r="I60" s="206" t="s">
        <v>1247</v>
      </c>
      <c r="J60" s="206" t="s">
        <v>1259</v>
      </c>
      <c r="K60" s="206" t="s">
        <v>1267</v>
      </c>
      <c r="L60" s="206" t="s">
        <v>1277</v>
      </c>
      <c r="M60" s="206" t="s">
        <v>1289</v>
      </c>
      <c r="N60" s="206" t="s">
        <v>1300</v>
      </c>
    </row>
    <row r="61" spans="1:14" x14ac:dyDescent="0.2">
      <c r="A61" s="206" t="s">
        <v>577</v>
      </c>
      <c r="B61" s="207" t="str">
        <f>HLOOKUP('RMA form'!$D$2,C:N,A61,FALSE)</f>
        <v>okt-24</v>
      </c>
      <c r="C61" s="206" t="s">
        <v>1119</v>
      </c>
      <c r="D61" s="224" t="s">
        <v>1155</v>
      </c>
      <c r="E61" s="206" t="s">
        <v>1160</v>
      </c>
      <c r="F61" s="206" t="s">
        <v>1119</v>
      </c>
      <c r="G61" s="206" t="s">
        <v>1225</v>
      </c>
      <c r="H61" s="206" t="s">
        <v>1237</v>
      </c>
      <c r="I61" s="206" t="s">
        <v>1248</v>
      </c>
      <c r="J61" s="206" t="s">
        <v>1260</v>
      </c>
      <c r="K61" s="206" t="s">
        <v>1268</v>
      </c>
      <c r="L61" s="206" t="s">
        <v>1278</v>
      </c>
      <c r="M61" s="206" t="s">
        <v>1290</v>
      </c>
      <c r="N61" s="206" t="s">
        <v>1301</v>
      </c>
    </row>
    <row r="62" spans="1:14" x14ac:dyDescent="0.2">
      <c r="A62" s="206" t="s">
        <v>578</v>
      </c>
      <c r="B62" s="207" t="str">
        <f>HLOOKUP('RMA form'!$D$2,C:N,A62,FALSE)</f>
        <v>nov-24</v>
      </c>
      <c r="C62" s="206" t="s">
        <v>1120</v>
      </c>
      <c r="D62" s="224" t="s">
        <v>1156</v>
      </c>
      <c r="E62" s="206" t="s">
        <v>1162</v>
      </c>
      <c r="F62" s="206" t="s">
        <v>1120</v>
      </c>
      <c r="G62" s="206" t="s">
        <v>1120</v>
      </c>
      <c r="H62" s="206" t="s">
        <v>1238</v>
      </c>
      <c r="I62" s="206" t="s">
        <v>1249</v>
      </c>
      <c r="J62" s="206" t="s">
        <v>1261</v>
      </c>
      <c r="K62" s="206" t="s">
        <v>1120</v>
      </c>
      <c r="L62" s="206" t="s">
        <v>1279</v>
      </c>
      <c r="M62" s="206" t="s">
        <v>1291</v>
      </c>
      <c r="N62" s="206" t="s">
        <v>1302</v>
      </c>
    </row>
    <row r="63" spans="1:14" x14ac:dyDescent="0.2">
      <c r="A63" s="206" t="s">
        <v>579</v>
      </c>
      <c r="B63" s="207" t="str">
        <f>HLOOKUP('RMA form'!$D$2,C:N,A63,FALSE)</f>
        <v>dec-24</v>
      </c>
      <c r="C63" s="206" t="s">
        <v>1121</v>
      </c>
      <c r="D63" s="224" t="s">
        <v>1157</v>
      </c>
      <c r="E63" s="256" t="s">
        <v>1161</v>
      </c>
      <c r="F63" s="256" t="s">
        <v>1197</v>
      </c>
      <c r="G63" s="256" t="s">
        <v>1226</v>
      </c>
      <c r="H63" s="256" t="s">
        <v>1227</v>
      </c>
      <c r="I63" s="256" t="s">
        <v>1250</v>
      </c>
      <c r="J63" s="256" t="s">
        <v>1262</v>
      </c>
      <c r="K63" s="256" t="s">
        <v>1197</v>
      </c>
      <c r="L63" s="256" t="s">
        <v>1280</v>
      </c>
      <c r="M63" s="256" t="s">
        <v>1292</v>
      </c>
      <c r="N63" s="256" t="s">
        <v>1303</v>
      </c>
    </row>
    <row r="64" spans="1:14" x14ac:dyDescent="0.2">
      <c r="A64" s="206" t="s">
        <v>580</v>
      </c>
      <c r="B64" s="207" t="str">
        <f>HLOOKUP('RMA form'!$D$2,C:N,A64,FALSE)</f>
        <v>jan-25</v>
      </c>
      <c r="C64" s="206" t="s">
        <v>1464</v>
      </c>
      <c r="D64" s="224" t="s">
        <v>1488</v>
      </c>
      <c r="E64" s="206" t="s">
        <v>1513</v>
      </c>
      <c r="F64" s="206" t="s">
        <v>1537</v>
      </c>
      <c r="G64" s="206" t="s">
        <v>1464</v>
      </c>
      <c r="H64" s="206" t="s">
        <v>1559</v>
      </c>
      <c r="I64" s="206" t="s">
        <v>1583</v>
      </c>
      <c r="J64" s="206" t="s">
        <v>1607</v>
      </c>
      <c r="K64" s="206" t="s">
        <v>1631</v>
      </c>
      <c r="L64" s="206" t="s">
        <v>1643</v>
      </c>
      <c r="M64" s="206" t="s">
        <v>1667</v>
      </c>
      <c r="N64" s="206" t="s">
        <v>1691</v>
      </c>
    </row>
    <row r="65" spans="1:14" x14ac:dyDescent="0.2">
      <c r="A65" s="206" t="s">
        <v>581</v>
      </c>
      <c r="B65" s="207" t="str">
        <f>HLOOKUP('RMA form'!$D$2,C:N,A65,FALSE)</f>
        <v>feb-25</v>
      </c>
      <c r="C65" s="206" t="s">
        <v>1465</v>
      </c>
      <c r="D65" s="224" t="s">
        <v>1489</v>
      </c>
      <c r="E65" s="206" t="s">
        <v>1514</v>
      </c>
      <c r="F65" s="206" t="s">
        <v>1465</v>
      </c>
      <c r="G65" s="206" t="s">
        <v>1545</v>
      </c>
      <c r="H65" s="206" t="s">
        <v>1560</v>
      </c>
      <c r="I65" s="206" t="s">
        <v>1584</v>
      </c>
      <c r="J65" s="206" t="s">
        <v>1608</v>
      </c>
      <c r="K65" s="206" t="s">
        <v>1465</v>
      </c>
      <c r="L65" s="206" t="s">
        <v>1644</v>
      </c>
      <c r="M65" s="206" t="s">
        <v>1668</v>
      </c>
      <c r="N65" s="206" t="s">
        <v>1692</v>
      </c>
    </row>
    <row r="66" spans="1:14" x14ac:dyDescent="0.2">
      <c r="A66" s="206" t="s">
        <v>582</v>
      </c>
      <c r="B66" s="207" t="str">
        <f>HLOOKUP('RMA form'!$D$2,C:N,A66,FALSE)</f>
        <v>mrt-25</v>
      </c>
      <c r="C66" s="206" t="s">
        <v>1466</v>
      </c>
      <c r="D66" s="224" t="s">
        <v>1490</v>
      </c>
      <c r="E66" s="206" t="s">
        <v>1515</v>
      </c>
      <c r="F66" s="206" t="s">
        <v>1466</v>
      </c>
      <c r="G66" s="206" t="s">
        <v>1466</v>
      </c>
      <c r="H66" s="206" t="s">
        <v>1561</v>
      </c>
      <c r="I66" s="206" t="s">
        <v>1585</v>
      </c>
      <c r="J66" s="206" t="s">
        <v>1609</v>
      </c>
      <c r="K66" s="206" t="s">
        <v>1466</v>
      </c>
      <c r="L66" s="206" t="s">
        <v>1645</v>
      </c>
      <c r="M66" s="206" t="s">
        <v>1669</v>
      </c>
      <c r="N66" s="206" t="s">
        <v>1693</v>
      </c>
    </row>
    <row r="67" spans="1:14" x14ac:dyDescent="0.2">
      <c r="A67" s="206" t="s">
        <v>583</v>
      </c>
      <c r="B67" s="207" t="str">
        <f>HLOOKUP('RMA form'!$D$2,C:N,A67,FALSE)</f>
        <v>apr-25</v>
      </c>
      <c r="C67" s="206" t="s">
        <v>1467</v>
      </c>
      <c r="D67" s="224" t="s">
        <v>1491</v>
      </c>
      <c r="E67" s="206" t="s">
        <v>1516</v>
      </c>
      <c r="F67" s="206" t="s">
        <v>1538</v>
      </c>
      <c r="G67" s="206" t="s">
        <v>1546</v>
      </c>
      <c r="H67" s="206" t="s">
        <v>1562</v>
      </c>
      <c r="I67" s="206" t="s">
        <v>1586</v>
      </c>
      <c r="J67" s="206" t="s">
        <v>1610</v>
      </c>
      <c r="K67" s="206" t="s">
        <v>1467</v>
      </c>
      <c r="L67" s="206" t="s">
        <v>1646</v>
      </c>
      <c r="M67" s="206" t="s">
        <v>1670</v>
      </c>
      <c r="N67" s="206" t="s">
        <v>1694</v>
      </c>
    </row>
    <row r="68" spans="1:14" x14ac:dyDescent="0.2">
      <c r="A68" s="206" t="s">
        <v>584</v>
      </c>
      <c r="B68" s="207" t="str">
        <f>HLOOKUP('RMA form'!$D$2,C:N,A68,FALSE)</f>
        <v>mei-25</v>
      </c>
      <c r="C68" s="206" t="s">
        <v>1468</v>
      </c>
      <c r="D68" s="224" t="s">
        <v>1492</v>
      </c>
      <c r="E68" s="206" t="s">
        <v>1517</v>
      </c>
      <c r="F68" s="206" t="s">
        <v>1468</v>
      </c>
      <c r="G68" s="206" t="s">
        <v>1547</v>
      </c>
      <c r="H68" s="206" t="s">
        <v>1563</v>
      </c>
      <c r="I68" s="206" t="s">
        <v>1587</v>
      </c>
      <c r="J68" s="206" t="s">
        <v>1611</v>
      </c>
      <c r="K68" s="206" t="s">
        <v>1632</v>
      </c>
      <c r="L68" s="206" t="s">
        <v>1647</v>
      </c>
      <c r="M68" s="206" t="s">
        <v>1671</v>
      </c>
      <c r="N68" s="206" t="s">
        <v>1695</v>
      </c>
    </row>
    <row r="69" spans="1:14" x14ac:dyDescent="0.2">
      <c r="A69" s="206" t="s">
        <v>585</v>
      </c>
      <c r="B69" s="207" t="str">
        <f>HLOOKUP('RMA form'!$D$2,C:N,A69,FALSE)</f>
        <v>jun-25</v>
      </c>
      <c r="C69" s="206" t="s">
        <v>1469</v>
      </c>
      <c r="D69" s="224" t="s">
        <v>1493</v>
      </c>
      <c r="E69" s="206" t="s">
        <v>1518</v>
      </c>
      <c r="F69" s="206" t="s">
        <v>1469</v>
      </c>
      <c r="G69" s="206" t="s">
        <v>1469</v>
      </c>
      <c r="H69" s="206" t="s">
        <v>1564</v>
      </c>
      <c r="I69" s="206" t="s">
        <v>1588</v>
      </c>
      <c r="J69" s="206" t="s">
        <v>1612</v>
      </c>
      <c r="K69" s="206" t="s">
        <v>1633</v>
      </c>
      <c r="L69" s="206" t="s">
        <v>1648</v>
      </c>
      <c r="M69" s="206" t="s">
        <v>1672</v>
      </c>
      <c r="N69" s="206" t="s">
        <v>1696</v>
      </c>
    </row>
    <row r="70" spans="1:14" x14ac:dyDescent="0.2">
      <c r="A70" s="206" t="s">
        <v>586</v>
      </c>
      <c r="B70" s="207" t="str">
        <f>HLOOKUP('RMA form'!$D$2,C:N,A70,FALSE)</f>
        <v>jul-25</v>
      </c>
      <c r="C70" s="206" t="s">
        <v>1470</v>
      </c>
      <c r="D70" s="224" t="s">
        <v>1494</v>
      </c>
      <c r="E70" s="206" t="s">
        <v>1519</v>
      </c>
      <c r="F70" s="206" t="s">
        <v>1470</v>
      </c>
      <c r="G70" s="206" t="s">
        <v>1470</v>
      </c>
      <c r="H70" s="206" t="s">
        <v>1565</v>
      </c>
      <c r="I70" s="206" t="s">
        <v>1589</v>
      </c>
      <c r="J70" s="206" t="s">
        <v>1613</v>
      </c>
      <c r="K70" s="206" t="s">
        <v>1634</v>
      </c>
      <c r="L70" s="206" t="s">
        <v>1649</v>
      </c>
      <c r="M70" s="206" t="s">
        <v>1673</v>
      </c>
      <c r="N70" s="206" t="s">
        <v>1697</v>
      </c>
    </row>
    <row r="71" spans="1:14" x14ac:dyDescent="0.2">
      <c r="A71" s="206" t="s">
        <v>587</v>
      </c>
      <c r="B71" s="207" t="str">
        <f>HLOOKUP('RMA form'!$D$2,C:N,A71,FALSE)</f>
        <v>aug-25</v>
      </c>
      <c r="C71" s="206" t="s">
        <v>1471</v>
      </c>
      <c r="D71" s="224" t="s">
        <v>1495</v>
      </c>
      <c r="E71" s="206" t="s">
        <v>1520</v>
      </c>
      <c r="F71" s="206" t="s">
        <v>1539</v>
      </c>
      <c r="G71" s="206" t="s">
        <v>1548</v>
      </c>
      <c r="H71" s="206" t="s">
        <v>1566</v>
      </c>
      <c r="I71" s="206" t="s">
        <v>1590</v>
      </c>
      <c r="J71" s="206" t="s">
        <v>1614</v>
      </c>
      <c r="K71" s="206" t="s">
        <v>1539</v>
      </c>
      <c r="L71" s="206" t="s">
        <v>1650</v>
      </c>
      <c r="M71" s="206" t="s">
        <v>1674</v>
      </c>
      <c r="N71" s="206" t="s">
        <v>1698</v>
      </c>
    </row>
    <row r="72" spans="1:14" x14ac:dyDescent="0.2">
      <c r="A72" s="206" t="s">
        <v>588</v>
      </c>
      <c r="B72" s="207" t="str">
        <f>HLOOKUP('RMA form'!$D$2,C:N,A72,FALSE)</f>
        <v>sep-25</v>
      </c>
      <c r="C72" s="206" t="s">
        <v>1472</v>
      </c>
      <c r="D72" s="224" t="s">
        <v>1496</v>
      </c>
      <c r="E72" s="206" t="s">
        <v>1521</v>
      </c>
      <c r="F72" s="206" t="s">
        <v>1472</v>
      </c>
      <c r="G72" s="206" t="s">
        <v>1549</v>
      </c>
      <c r="H72" s="206" t="s">
        <v>1567</v>
      </c>
      <c r="I72" s="206" t="s">
        <v>1591</v>
      </c>
      <c r="J72" s="206" t="s">
        <v>1615</v>
      </c>
      <c r="K72" s="206" t="s">
        <v>1635</v>
      </c>
      <c r="L72" s="206" t="s">
        <v>1651</v>
      </c>
      <c r="M72" s="206" t="s">
        <v>1675</v>
      </c>
      <c r="N72" s="206" t="s">
        <v>1699</v>
      </c>
    </row>
    <row r="73" spans="1:14" x14ac:dyDescent="0.2">
      <c r="A73" s="206" t="s">
        <v>589</v>
      </c>
      <c r="B73" s="207" t="str">
        <f>HLOOKUP('RMA form'!$D$2,C:N,A73,FALSE)</f>
        <v>okt-25</v>
      </c>
      <c r="C73" s="206" t="s">
        <v>1473</v>
      </c>
      <c r="D73" s="224" t="s">
        <v>1497</v>
      </c>
      <c r="E73" s="206" t="s">
        <v>1522</v>
      </c>
      <c r="F73" s="206" t="s">
        <v>1473</v>
      </c>
      <c r="G73" s="206" t="s">
        <v>1550</v>
      </c>
      <c r="H73" s="206" t="s">
        <v>1568</v>
      </c>
      <c r="I73" s="206" t="s">
        <v>1592</v>
      </c>
      <c r="J73" s="206" t="s">
        <v>1616</v>
      </c>
      <c r="K73" s="206" t="s">
        <v>1636</v>
      </c>
      <c r="L73" s="206" t="s">
        <v>1652</v>
      </c>
      <c r="M73" s="206" t="s">
        <v>1676</v>
      </c>
      <c r="N73" s="206" t="s">
        <v>1700</v>
      </c>
    </row>
    <row r="74" spans="1:14" x14ac:dyDescent="0.2">
      <c r="A74" s="206" t="s">
        <v>590</v>
      </c>
      <c r="B74" s="207" t="str">
        <f>HLOOKUP('RMA form'!$D$2,C:N,A74,FALSE)</f>
        <v>nov-25</v>
      </c>
      <c r="C74" s="206" t="s">
        <v>1474</v>
      </c>
      <c r="D74" s="224" t="s">
        <v>1498</v>
      </c>
      <c r="E74" s="206" t="s">
        <v>1523</v>
      </c>
      <c r="F74" s="206" t="s">
        <v>1474</v>
      </c>
      <c r="G74" s="206" t="s">
        <v>1474</v>
      </c>
      <c r="H74" s="206" t="s">
        <v>1569</v>
      </c>
      <c r="I74" s="206" t="s">
        <v>1593</v>
      </c>
      <c r="J74" s="206" t="s">
        <v>1617</v>
      </c>
      <c r="K74" s="206" t="s">
        <v>1474</v>
      </c>
      <c r="L74" s="206" t="s">
        <v>1653</v>
      </c>
      <c r="M74" s="206" t="s">
        <v>1677</v>
      </c>
      <c r="N74" s="206" t="s">
        <v>1701</v>
      </c>
    </row>
    <row r="75" spans="1:14" x14ac:dyDescent="0.2">
      <c r="A75" s="206" t="s">
        <v>591</v>
      </c>
      <c r="B75" s="207" t="str">
        <f>HLOOKUP('RMA form'!$D$2,C:N,A75,FALSE)</f>
        <v>dec-25</v>
      </c>
      <c r="C75" s="206" t="s">
        <v>1475</v>
      </c>
      <c r="D75" s="224" t="s">
        <v>1499</v>
      </c>
      <c r="E75" s="206" t="s">
        <v>1524</v>
      </c>
      <c r="F75" s="206" t="s">
        <v>1540</v>
      </c>
      <c r="G75" s="206" t="s">
        <v>1551</v>
      </c>
      <c r="H75" s="206" t="s">
        <v>1570</v>
      </c>
      <c r="I75" s="206" t="s">
        <v>1594</v>
      </c>
      <c r="J75" s="206" t="s">
        <v>1618</v>
      </c>
      <c r="K75" s="206" t="s">
        <v>1540</v>
      </c>
      <c r="L75" s="206" t="s">
        <v>1654</v>
      </c>
      <c r="M75" s="206" t="s">
        <v>1678</v>
      </c>
      <c r="N75" s="206" t="s">
        <v>1702</v>
      </c>
    </row>
    <row r="76" spans="1:14" x14ac:dyDescent="0.2">
      <c r="A76" s="206" t="s">
        <v>592</v>
      </c>
      <c r="B76" s="207" t="str">
        <f>HLOOKUP('RMA form'!$D$2,C:N,A76,FALSE)</f>
        <v>jan-26</v>
      </c>
      <c r="C76" s="206" t="s">
        <v>1476</v>
      </c>
      <c r="D76" s="224" t="s">
        <v>1500</v>
      </c>
      <c r="E76" s="206" t="s">
        <v>1525</v>
      </c>
      <c r="F76" s="206" t="s">
        <v>1541</v>
      </c>
      <c r="G76" s="206" t="s">
        <v>1476</v>
      </c>
      <c r="H76" s="206" t="s">
        <v>1571</v>
      </c>
      <c r="I76" s="206" t="s">
        <v>1595</v>
      </c>
      <c r="J76" s="206" t="s">
        <v>1619</v>
      </c>
      <c r="K76" s="206" t="s">
        <v>1637</v>
      </c>
      <c r="L76" s="206" t="s">
        <v>1655</v>
      </c>
      <c r="M76" s="206" t="s">
        <v>1679</v>
      </c>
      <c r="N76" s="206" t="s">
        <v>1703</v>
      </c>
    </row>
    <row r="77" spans="1:14" x14ac:dyDescent="0.2">
      <c r="A77" s="206" t="s">
        <v>593</v>
      </c>
      <c r="B77" s="207" t="str">
        <f>HLOOKUP('RMA form'!$D$2,C:N,A77,FALSE)</f>
        <v>feb-26</v>
      </c>
      <c r="C77" s="206" t="s">
        <v>1477</v>
      </c>
      <c r="D77" s="224" t="s">
        <v>1501</v>
      </c>
      <c r="E77" s="206" t="s">
        <v>1526</v>
      </c>
      <c r="F77" s="206" t="s">
        <v>1477</v>
      </c>
      <c r="G77" s="206" t="s">
        <v>1552</v>
      </c>
      <c r="H77" s="206" t="s">
        <v>1572</v>
      </c>
      <c r="I77" s="206" t="s">
        <v>1596</v>
      </c>
      <c r="J77" s="206" t="s">
        <v>1620</v>
      </c>
      <c r="K77" s="206" t="s">
        <v>1477</v>
      </c>
      <c r="L77" s="206" t="s">
        <v>1656</v>
      </c>
      <c r="M77" s="206" t="s">
        <v>1680</v>
      </c>
      <c r="N77" s="206" t="s">
        <v>1704</v>
      </c>
    </row>
    <row r="78" spans="1:14" x14ac:dyDescent="0.2">
      <c r="A78" s="206" t="s">
        <v>594</v>
      </c>
      <c r="B78" s="207" t="str">
        <f>HLOOKUP('RMA form'!$D$2,C:N,A78,FALSE)</f>
        <v>mrt-26</v>
      </c>
      <c r="C78" s="206" t="s">
        <v>1478</v>
      </c>
      <c r="D78" s="224" t="s">
        <v>1502</v>
      </c>
      <c r="E78" s="206" t="s">
        <v>1527</v>
      </c>
      <c r="F78" s="206" t="s">
        <v>1478</v>
      </c>
      <c r="G78" s="206" t="s">
        <v>1478</v>
      </c>
      <c r="H78" s="206" t="s">
        <v>1573</v>
      </c>
      <c r="I78" s="206" t="s">
        <v>1597</v>
      </c>
      <c r="J78" s="206" t="s">
        <v>1621</v>
      </c>
      <c r="K78" s="206" t="s">
        <v>1478</v>
      </c>
      <c r="L78" s="206" t="s">
        <v>1657</v>
      </c>
      <c r="M78" s="206" t="s">
        <v>1681</v>
      </c>
      <c r="N78" s="206" t="s">
        <v>1705</v>
      </c>
    </row>
    <row r="79" spans="1:14" x14ac:dyDescent="0.2">
      <c r="A79" s="206" t="s">
        <v>595</v>
      </c>
      <c r="B79" s="207" t="str">
        <f>HLOOKUP('RMA form'!$D$2,C:N,A79,FALSE)</f>
        <v>apr-26</v>
      </c>
      <c r="C79" s="206" t="s">
        <v>1479</v>
      </c>
      <c r="D79" s="224" t="s">
        <v>1503</v>
      </c>
      <c r="E79" s="206" t="s">
        <v>1528</v>
      </c>
      <c r="F79" s="206" t="s">
        <v>1542</v>
      </c>
      <c r="G79" s="206" t="s">
        <v>1553</v>
      </c>
      <c r="H79" s="206" t="s">
        <v>1574</v>
      </c>
      <c r="I79" s="206" t="s">
        <v>1598</v>
      </c>
      <c r="J79" s="206" t="s">
        <v>1622</v>
      </c>
      <c r="K79" s="206" t="s">
        <v>1479</v>
      </c>
      <c r="L79" s="206" t="s">
        <v>1658</v>
      </c>
      <c r="M79" s="206" t="s">
        <v>1682</v>
      </c>
      <c r="N79" s="206" t="s">
        <v>1706</v>
      </c>
    </row>
    <row r="80" spans="1:14" x14ac:dyDescent="0.2">
      <c r="A80" s="206" t="s">
        <v>596</v>
      </c>
      <c r="B80" s="207" t="str">
        <f>HLOOKUP('RMA form'!$D$2,C:N,A80,FALSE)</f>
        <v>mei-26</v>
      </c>
      <c r="C80" s="206" t="s">
        <v>1480</v>
      </c>
      <c r="D80" s="224" t="s">
        <v>1504</v>
      </c>
      <c r="E80" s="206" t="s">
        <v>1529</v>
      </c>
      <c r="F80" s="206" t="s">
        <v>1480</v>
      </c>
      <c r="G80" s="206" t="s">
        <v>1554</v>
      </c>
      <c r="H80" s="206" t="s">
        <v>1575</v>
      </c>
      <c r="I80" s="206" t="s">
        <v>1599</v>
      </c>
      <c r="J80" s="206" t="s">
        <v>1623</v>
      </c>
      <c r="K80" s="206" t="s">
        <v>1638</v>
      </c>
      <c r="L80" s="206" t="s">
        <v>1659</v>
      </c>
      <c r="M80" s="206" t="s">
        <v>1683</v>
      </c>
      <c r="N80" s="206" t="s">
        <v>1707</v>
      </c>
    </row>
    <row r="81" spans="1:14" x14ac:dyDescent="0.2">
      <c r="A81" s="206" t="s">
        <v>597</v>
      </c>
      <c r="B81" s="207" t="str">
        <f>HLOOKUP('RMA form'!$D$2,C:N,A81,FALSE)</f>
        <v>jun-26</v>
      </c>
      <c r="C81" s="206" t="s">
        <v>1481</v>
      </c>
      <c r="D81" s="224" t="s">
        <v>1505</v>
      </c>
      <c r="E81" s="206" t="s">
        <v>1530</v>
      </c>
      <c r="F81" s="206" t="s">
        <v>1481</v>
      </c>
      <c r="G81" s="206" t="s">
        <v>1481</v>
      </c>
      <c r="H81" s="206" t="s">
        <v>1576</v>
      </c>
      <c r="I81" s="206" t="s">
        <v>1600</v>
      </c>
      <c r="J81" s="206" t="s">
        <v>1624</v>
      </c>
      <c r="K81" s="206" t="s">
        <v>1639</v>
      </c>
      <c r="L81" s="206" t="s">
        <v>1660</v>
      </c>
      <c r="M81" s="206" t="s">
        <v>1684</v>
      </c>
      <c r="N81" s="206" t="s">
        <v>1708</v>
      </c>
    </row>
    <row r="82" spans="1:14" x14ac:dyDescent="0.2">
      <c r="A82" s="206" t="s">
        <v>598</v>
      </c>
      <c r="B82" s="207" t="str">
        <f>HLOOKUP('RMA form'!$D$2,C:N,A82,FALSE)</f>
        <v>jul-26</v>
      </c>
      <c r="C82" s="206" t="s">
        <v>1482</v>
      </c>
      <c r="D82" s="224" t="s">
        <v>1506</v>
      </c>
      <c r="E82" s="206" t="s">
        <v>1531</v>
      </c>
      <c r="F82" s="206" t="s">
        <v>1482</v>
      </c>
      <c r="G82" s="206" t="s">
        <v>1482</v>
      </c>
      <c r="H82" s="206" t="s">
        <v>1577</v>
      </c>
      <c r="I82" s="206" t="s">
        <v>1601</v>
      </c>
      <c r="J82" s="206" t="s">
        <v>1625</v>
      </c>
      <c r="K82" s="206" t="s">
        <v>1640</v>
      </c>
      <c r="L82" s="206" t="s">
        <v>1661</v>
      </c>
      <c r="M82" s="206" t="s">
        <v>1685</v>
      </c>
      <c r="N82" s="206" t="s">
        <v>1709</v>
      </c>
    </row>
    <row r="83" spans="1:14" x14ac:dyDescent="0.2">
      <c r="A83" s="206" t="s">
        <v>599</v>
      </c>
      <c r="B83" s="207" t="str">
        <f>HLOOKUP('RMA form'!$D$2,C:N,A83,FALSE)</f>
        <v>aug-26</v>
      </c>
      <c r="C83" s="206" t="s">
        <v>1483</v>
      </c>
      <c r="D83" s="224" t="s">
        <v>1507</v>
      </c>
      <c r="E83" s="206" t="s">
        <v>1532</v>
      </c>
      <c r="F83" s="206" t="s">
        <v>1543</v>
      </c>
      <c r="G83" s="206" t="s">
        <v>1555</v>
      </c>
      <c r="H83" s="206" t="s">
        <v>1578</v>
      </c>
      <c r="I83" s="206" t="s">
        <v>1602</v>
      </c>
      <c r="J83" s="206" t="s">
        <v>1626</v>
      </c>
      <c r="K83" s="206" t="s">
        <v>1543</v>
      </c>
      <c r="L83" s="206" t="s">
        <v>1662</v>
      </c>
      <c r="M83" s="206" t="s">
        <v>1686</v>
      </c>
      <c r="N83" s="206" t="s">
        <v>1710</v>
      </c>
    </row>
    <row r="84" spans="1:14" x14ac:dyDescent="0.2">
      <c r="A84" s="206" t="s">
        <v>600</v>
      </c>
      <c r="B84" s="207" t="str">
        <f>HLOOKUP('RMA form'!$D$2,C:N,A84,FALSE)</f>
        <v>sep-26</v>
      </c>
      <c r="C84" s="206" t="s">
        <v>1484</v>
      </c>
      <c r="D84" s="224" t="s">
        <v>1508</v>
      </c>
      <c r="E84" s="206" t="s">
        <v>1533</v>
      </c>
      <c r="F84" s="206" t="s">
        <v>1484</v>
      </c>
      <c r="G84" s="206" t="s">
        <v>1556</v>
      </c>
      <c r="H84" s="206" t="s">
        <v>1579</v>
      </c>
      <c r="I84" s="206" t="s">
        <v>1603</v>
      </c>
      <c r="J84" s="206" t="s">
        <v>1627</v>
      </c>
      <c r="K84" s="206" t="s">
        <v>1641</v>
      </c>
      <c r="L84" s="206" t="s">
        <v>1663</v>
      </c>
      <c r="M84" s="206" t="s">
        <v>1687</v>
      </c>
      <c r="N84" s="206" t="s">
        <v>1711</v>
      </c>
    </row>
    <row r="85" spans="1:14" x14ac:dyDescent="0.2">
      <c r="A85" s="206" t="s">
        <v>601</v>
      </c>
      <c r="B85" s="207" t="str">
        <f>HLOOKUP('RMA form'!$D$2,C:N,A85,FALSE)</f>
        <v>okt-26</v>
      </c>
      <c r="C85" s="206" t="s">
        <v>1485</v>
      </c>
      <c r="D85" s="224" t="s">
        <v>1509</v>
      </c>
      <c r="E85" s="206" t="s">
        <v>1534</v>
      </c>
      <c r="F85" s="206" t="s">
        <v>1485</v>
      </c>
      <c r="G85" s="206" t="s">
        <v>1557</v>
      </c>
      <c r="H85" s="206" t="s">
        <v>1580</v>
      </c>
      <c r="I85" s="206" t="s">
        <v>1604</v>
      </c>
      <c r="J85" s="206" t="s">
        <v>1628</v>
      </c>
      <c r="K85" s="206" t="s">
        <v>1642</v>
      </c>
      <c r="L85" s="206" t="s">
        <v>1664</v>
      </c>
      <c r="M85" s="206" t="s">
        <v>1688</v>
      </c>
      <c r="N85" s="206" t="s">
        <v>1712</v>
      </c>
    </row>
    <row r="86" spans="1:14" x14ac:dyDescent="0.2">
      <c r="A86" s="206" t="s">
        <v>602</v>
      </c>
      <c r="B86" s="207" t="str">
        <f>HLOOKUP('RMA form'!$D$2,C:N,A86,FALSE)</f>
        <v>nov-26</v>
      </c>
      <c r="C86" s="206" t="s">
        <v>1486</v>
      </c>
      <c r="D86" s="224" t="s">
        <v>1510</v>
      </c>
      <c r="E86" s="206" t="s">
        <v>1535</v>
      </c>
      <c r="F86" s="206" t="s">
        <v>1486</v>
      </c>
      <c r="G86" s="206" t="s">
        <v>1486</v>
      </c>
      <c r="H86" s="206" t="s">
        <v>1581</v>
      </c>
      <c r="I86" s="206" t="s">
        <v>1605</v>
      </c>
      <c r="J86" s="206" t="s">
        <v>1629</v>
      </c>
      <c r="K86" s="206" t="s">
        <v>1486</v>
      </c>
      <c r="L86" s="206" t="s">
        <v>1665</v>
      </c>
      <c r="M86" s="206" t="s">
        <v>1689</v>
      </c>
      <c r="N86" s="206" t="s">
        <v>1713</v>
      </c>
    </row>
    <row r="87" spans="1:14" x14ac:dyDescent="0.2">
      <c r="A87" s="206" t="s">
        <v>603</v>
      </c>
      <c r="B87" s="207" t="str">
        <f>HLOOKUP('RMA form'!$D$2,C:N,A87,FALSE)</f>
        <v>dec-26</v>
      </c>
      <c r="C87" s="206" t="s">
        <v>1487</v>
      </c>
      <c r="D87" s="224" t="s">
        <v>1511</v>
      </c>
      <c r="E87" s="206" t="s">
        <v>1536</v>
      </c>
      <c r="F87" s="206" t="s">
        <v>1544</v>
      </c>
      <c r="G87" s="206" t="s">
        <v>1558</v>
      </c>
      <c r="H87" s="206" t="s">
        <v>1582</v>
      </c>
      <c r="I87" s="206" t="s">
        <v>1606</v>
      </c>
      <c r="J87" s="206" t="s">
        <v>1630</v>
      </c>
      <c r="K87" s="206" t="s">
        <v>1544</v>
      </c>
      <c r="L87" s="206" t="s">
        <v>1666</v>
      </c>
      <c r="M87" s="206" t="s">
        <v>1690</v>
      </c>
      <c r="N87" s="206" t="s">
        <v>1714</v>
      </c>
    </row>
  </sheetData>
  <phoneticPr fontId="4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3</vt:i4>
      </vt:variant>
    </vt:vector>
  </HeadingPairs>
  <TitlesOfParts>
    <vt:vector size="8" baseType="lpstr">
      <vt:lpstr>RMA form</vt:lpstr>
      <vt:lpstr>MultiLanguage</vt:lpstr>
      <vt:lpstr>CSTeam</vt:lpstr>
      <vt:lpstr>Q&amp;A</vt:lpstr>
      <vt:lpstr>DATE</vt:lpstr>
      <vt:lpstr>'RMA form'!Afdrukbereik</vt:lpstr>
      <vt:lpstr>DATE!date_table</vt:lpstr>
      <vt:lpstr>DATE!Dates_table3</vt:lpstr>
    </vt:vector>
  </TitlesOfParts>
  <Company>Carrier Fire &amp; Security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RMA Request Form - Multi regional/language</dc:title>
  <dc:subject>RMA Request Form - Multi regional/language</dc:subject>
  <dc:creator>Hans.Ostheimer@fs.utc.com</dc:creator>
  <dc:description>RMA Request Form - Multi regional/language</dc:description>
  <cp:lastModifiedBy>Payo Cornelisz, Sandro (KGS EE)</cp:lastModifiedBy>
  <cp:lastPrinted>2020-11-19T06:55:24Z</cp:lastPrinted>
  <dcterms:created xsi:type="dcterms:W3CDTF">2013-03-13T08:05:58Z</dcterms:created>
  <dcterms:modified xsi:type="dcterms:W3CDTF">2025-03-18T08:11:07Z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864bb8-b671-4bed-ba85-9478127ab5e9_Enabled">
    <vt:lpwstr>true</vt:lpwstr>
  </property>
  <property fmtid="{D5CDD505-2E9C-101B-9397-08002B2CF9AE}" pid="3" name="MSIP_Label_b7864bb8-b671-4bed-ba85-9478127ab5e9_SetDate">
    <vt:lpwstr>2024-11-04T14:28:31Z</vt:lpwstr>
  </property>
  <property fmtid="{D5CDD505-2E9C-101B-9397-08002B2CF9AE}" pid="4" name="MSIP_Label_b7864bb8-b671-4bed-ba85-9478127ab5e9_Method">
    <vt:lpwstr>Standard</vt:lpwstr>
  </property>
  <property fmtid="{D5CDD505-2E9C-101B-9397-08002B2CF9AE}" pid="5" name="MSIP_Label_b7864bb8-b671-4bed-ba85-9478127ab5e9_Name">
    <vt:lpwstr>Confidential – 2023</vt:lpwstr>
  </property>
  <property fmtid="{D5CDD505-2E9C-101B-9397-08002B2CF9AE}" pid="6" name="MSIP_Label_b7864bb8-b671-4bed-ba85-9478127ab5e9_SiteId">
    <vt:lpwstr>36839a65-7f3f-4bac-9ea4-f571f10a9a03</vt:lpwstr>
  </property>
  <property fmtid="{D5CDD505-2E9C-101B-9397-08002B2CF9AE}" pid="7" name="MSIP_Label_b7864bb8-b671-4bed-ba85-9478127ab5e9_ActionId">
    <vt:lpwstr>036594b8-2c7e-48d6-8282-c2392c98a9ba</vt:lpwstr>
  </property>
  <property fmtid="{D5CDD505-2E9C-101B-9397-08002B2CF9AE}" pid="8" name="MSIP_Label_b7864bb8-b671-4bed-ba85-9478127ab5e9_ContentBits">
    <vt:lpwstr>0</vt:lpwstr>
  </property>
</Properties>
</file>